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640" tabRatio="851" activeTab="5"/>
  </bookViews>
  <sheets>
    <sheet name="прилож 1 " sheetId="8" r:id="rId1"/>
    <sheet name="прилож 2 " sheetId="9" r:id="rId2"/>
    <sheet name="прилож 3" sheetId="10" r:id="rId3"/>
    <sheet name="прилож 4" sheetId="6" r:id="rId4"/>
    <sheet name="прилож 5" sheetId="1" r:id="rId5"/>
    <sheet name="прилож 6" sheetId="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1" hidden="1">'прилож 2 '!$B$6:$K$35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 1 '!$4:$5</definedName>
    <definedName name="_xlnm.Print_Titles" localSheetId="1">'прилож 2 '!$5:$6</definedName>
    <definedName name="_xlnm.Print_Titles" localSheetId="2">'прилож 3'!$4:$5</definedName>
    <definedName name="_xlnm.Print_Titles" localSheetId="4">'прилож 5'!$4:$5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 1 '!$A$1:$R$43</definedName>
    <definedName name="_xlnm.Print_Area" localSheetId="1">'прилож 2 '!$B$1:$H$37</definedName>
    <definedName name="_xlnm.Print_Area" localSheetId="3">'прилож 4'!$A$1:$N$25</definedName>
    <definedName name="_xlnm.Print_Area" localSheetId="4">'прилож 5'!$A$1:$N$19</definedName>
    <definedName name="_xlnm.Print_Area" localSheetId="5">'прилож 6'!$A$1:$N$34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 fullCalcOnLoad="1" refMode="R1C1"/>
</workbook>
</file>

<file path=xl/calcChain.xml><?xml version="1.0" encoding="utf-8"?>
<calcChain xmlns="http://schemas.openxmlformats.org/spreadsheetml/2006/main">
  <c r="E13" i="9"/>
  <c r="E12"/>
  <c r="E10"/>
  <c r="J8" i="8"/>
  <c r="J9"/>
  <c r="K8"/>
  <c r="M27"/>
  <c r="M28"/>
  <c r="J29"/>
  <c r="J22"/>
  <c r="J33"/>
  <c r="E11" i="9"/>
  <c r="E9"/>
  <c r="E7"/>
  <c r="J11" i="1"/>
  <c r="K18" i="7"/>
  <c r="L18"/>
  <c r="M12"/>
  <c r="M13"/>
  <c r="M15"/>
  <c r="M18"/>
  <c r="J18"/>
  <c r="G13" i="9"/>
  <c r="F13"/>
  <c r="H13"/>
  <c r="J19" i="6"/>
  <c r="J11"/>
  <c r="K32" i="7"/>
  <c r="L32"/>
  <c r="M8"/>
  <c r="M32"/>
  <c r="J32"/>
  <c r="L24"/>
  <c r="K24"/>
  <c r="J24"/>
  <c r="M24"/>
  <c r="M21"/>
  <c r="M22"/>
  <c r="M23"/>
  <c r="M20"/>
  <c r="M9"/>
  <c r="M31"/>
  <c r="K20"/>
  <c r="K31"/>
  <c r="L20"/>
  <c r="L31"/>
  <c r="J20"/>
  <c r="J31"/>
  <c r="K28"/>
  <c r="L28"/>
  <c r="M28"/>
  <c r="J28"/>
  <c r="M26"/>
  <c r="M27"/>
  <c r="M25"/>
  <c r="K11" i="6"/>
  <c r="K19"/>
  <c r="K20"/>
  <c r="L11"/>
  <c r="L19"/>
  <c r="L20"/>
  <c r="M8"/>
  <c r="M11"/>
  <c r="M18"/>
  <c r="M16"/>
  <c r="M14"/>
  <c r="M19"/>
  <c r="M20"/>
  <c r="K14" i="1"/>
  <c r="L14"/>
  <c r="J14"/>
  <c r="F16" i="9"/>
  <c r="F14"/>
  <c r="F23"/>
  <c r="F21"/>
  <c r="F30"/>
  <c r="F28"/>
  <c r="G16"/>
  <c r="G14"/>
  <c r="G23"/>
  <c r="G21"/>
  <c r="G30"/>
  <c r="G28"/>
  <c r="E16"/>
  <c r="E14"/>
  <c r="E23"/>
  <c r="E21"/>
  <c r="E30"/>
  <c r="E28"/>
  <c r="H29"/>
  <c r="H30"/>
  <c r="H31"/>
  <c r="H32"/>
  <c r="H33"/>
  <c r="H34"/>
  <c r="H28"/>
  <c r="H15"/>
  <c r="H16"/>
  <c r="H17"/>
  <c r="H18"/>
  <c r="H19"/>
  <c r="H20"/>
  <c r="H14"/>
  <c r="H22"/>
  <c r="H23"/>
  <c r="H24"/>
  <c r="H25"/>
  <c r="H26"/>
  <c r="H27"/>
  <c r="H21"/>
  <c r="G12"/>
  <c r="G9"/>
  <c r="G7"/>
  <c r="F11"/>
  <c r="F12"/>
  <c r="F9"/>
  <c r="F7"/>
  <c r="H9"/>
  <c r="H11"/>
  <c r="H12"/>
  <c r="H10"/>
  <c r="K29" i="8"/>
  <c r="L29"/>
  <c r="J10"/>
  <c r="J7"/>
  <c r="K9"/>
  <c r="L9"/>
  <c r="M14"/>
  <c r="M9"/>
  <c r="J12"/>
  <c r="J11"/>
  <c r="K12"/>
  <c r="K11"/>
  <c r="L12"/>
  <c r="L11"/>
  <c r="K17"/>
  <c r="L17"/>
  <c r="J17"/>
  <c r="K33"/>
  <c r="K10"/>
  <c r="L33"/>
  <c r="L10"/>
  <c r="Q10"/>
  <c r="M34"/>
  <c r="M35"/>
  <c r="M36"/>
  <c r="M33"/>
  <c r="M26"/>
  <c r="M25"/>
  <c r="M15"/>
  <c r="L8"/>
  <c r="L7"/>
  <c r="L6"/>
  <c r="M13"/>
  <c r="M8"/>
  <c r="K113" i="10"/>
  <c r="J16" i="8"/>
  <c r="M14" i="7"/>
  <c r="J10"/>
  <c r="M30" i="8"/>
  <c r="M29"/>
  <c r="M24"/>
  <c r="M31"/>
  <c r="K16"/>
  <c r="L16"/>
  <c r="M18"/>
  <c r="M19"/>
  <c r="M23"/>
  <c r="M23" i="6"/>
  <c r="M24"/>
  <c r="J20"/>
  <c r="M21"/>
  <c r="M13" i="1"/>
  <c r="M8"/>
  <c r="G14" i="7"/>
  <c r="F14"/>
  <c r="K10"/>
  <c r="L10"/>
  <c r="M10"/>
  <c r="M29"/>
  <c r="M17" i="1"/>
  <c r="J15"/>
  <c r="K11"/>
  <c r="K15"/>
  <c r="L11"/>
  <c r="L15"/>
  <c r="M11"/>
  <c r="K123" i="10"/>
  <c r="J123"/>
  <c r="I123"/>
  <c r="K122"/>
  <c r="J121"/>
  <c r="K121"/>
  <c r="I121"/>
  <c r="K120"/>
  <c r="K119"/>
  <c r="K118"/>
  <c r="K117"/>
  <c r="K116"/>
  <c r="K112"/>
  <c r="K111"/>
  <c r="K110"/>
  <c r="K109"/>
  <c r="K108"/>
  <c r="K107"/>
  <c r="K106"/>
  <c r="K105"/>
  <c r="K104"/>
  <c r="J95"/>
  <c r="K95"/>
  <c r="I95"/>
  <c r="J94"/>
  <c r="K94"/>
  <c r="I94"/>
  <c r="J93"/>
  <c r="K93"/>
  <c r="I93"/>
  <c r="J90"/>
  <c r="K90"/>
  <c r="I90"/>
  <c r="B90"/>
  <c r="K89"/>
  <c r="J89"/>
  <c r="I89"/>
  <c r="K88"/>
  <c r="J87"/>
  <c r="K87"/>
  <c r="I87"/>
  <c r="F87"/>
  <c r="E87"/>
  <c r="D87"/>
  <c r="C87"/>
  <c r="B87"/>
  <c r="J86"/>
  <c r="K86"/>
  <c r="I86"/>
  <c r="B86"/>
  <c r="K85"/>
  <c r="K84"/>
  <c r="K83"/>
  <c r="K82"/>
  <c r="K81"/>
  <c r="K80"/>
  <c r="K79"/>
  <c r="K78"/>
  <c r="J78"/>
  <c r="I78"/>
  <c r="J77"/>
  <c r="K77"/>
  <c r="I77"/>
  <c r="O70"/>
  <c r="N70"/>
  <c r="M70"/>
  <c r="I70"/>
  <c r="H70"/>
  <c r="J68"/>
  <c r="K68"/>
  <c r="I68"/>
  <c r="H68"/>
  <c r="K66"/>
  <c r="B65"/>
  <c r="O58"/>
  <c r="R60"/>
  <c r="J60"/>
  <c r="K60"/>
  <c r="R62"/>
  <c r="N58"/>
  <c r="Q60"/>
  <c r="Q62"/>
  <c r="I60"/>
  <c r="P62"/>
  <c r="J59"/>
  <c r="K59"/>
  <c r="O56"/>
  <c r="R61"/>
  <c r="Q61"/>
  <c r="I59"/>
  <c r="P61"/>
  <c r="O60"/>
  <c r="N60"/>
  <c r="M60"/>
  <c r="F60"/>
  <c r="E60"/>
  <c r="D60"/>
  <c r="C60"/>
  <c r="B60"/>
  <c r="O59"/>
  <c r="N59"/>
  <c r="M59"/>
  <c r="F59"/>
  <c r="E59"/>
  <c r="D59"/>
  <c r="C59"/>
  <c r="B59"/>
  <c r="M58"/>
  <c r="J53"/>
  <c r="K53"/>
  <c r="I53"/>
  <c r="J47"/>
  <c r="K47"/>
  <c r="I47"/>
  <c r="F47"/>
  <c r="J46"/>
  <c r="K46"/>
  <c r="I46"/>
  <c r="N39"/>
  <c r="M39"/>
  <c r="L39"/>
  <c r="J33"/>
  <c r="K33"/>
  <c r="J32"/>
  <c r="K32"/>
  <c r="I33"/>
  <c r="E33"/>
  <c r="D33"/>
  <c r="C33"/>
  <c r="I32"/>
  <c r="C32"/>
  <c r="O27"/>
  <c r="N27"/>
  <c r="M27"/>
  <c r="C27"/>
  <c r="O26"/>
  <c r="N26"/>
  <c r="M26"/>
  <c r="J26"/>
  <c r="K26"/>
  <c r="I26"/>
  <c r="C26"/>
  <c r="C18"/>
  <c r="B16"/>
  <c r="O15"/>
  <c r="N15"/>
  <c r="M15"/>
  <c r="O11"/>
  <c r="N11"/>
  <c r="M11"/>
  <c r="J11"/>
  <c r="K11"/>
  <c r="I11"/>
  <c r="G11"/>
  <c r="E11"/>
  <c r="F11"/>
  <c r="D11"/>
  <c r="C11"/>
  <c r="B11"/>
  <c r="O10"/>
  <c r="N10"/>
  <c r="M10"/>
  <c r="K10"/>
  <c r="J10"/>
  <c r="I10"/>
  <c r="G10"/>
  <c r="F10"/>
  <c r="C10"/>
  <c r="B10"/>
  <c r="F33"/>
  <c r="O3" i="8"/>
  <c r="I27" i="10"/>
  <c r="J70"/>
  <c r="J27"/>
  <c r="K70"/>
  <c r="K27"/>
  <c r="K39"/>
  <c r="M56"/>
  <c r="J39"/>
  <c r="N41"/>
  <c r="K11" i="9"/>
  <c r="J11"/>
  <c r="I11"/>
  <c r="M14" i="1"/>
  <c r="M15"/>
  <c r="M22" i="6"/>
  <c r="M16" i="8"/>
  <c r="M17"/>
  <c r="I39" i="10"/>
  <c r="M41"/>
  <c r="H39"/>
  <c r="L41"/>
  <c r="N56"/>
  <c r="O10" i="8"/>
  <c r="L29" i="7"/>
  <c r="K29"/>
  <c r="J29"/>
  <c r="Q4" i="8"/>
  <c r="Q5"/>
  <c r="K12" i="9"/>
  <c r="K7" i="8"/>
  <c r="K6"/>
  <c r="P10"/>
  <c r="M10"/>
  <c r="J6"/>
  <c r="M7"/>
  <c r="J21"/>
  <c r="M11"/>
  <c r="M12"/>
  <c r="H7" i="9"/>
  <c r="L22" i="8"/>
  <c r="L21"/>
  <c r="K22"/>
  <c r="K21"/>
  <c r="M6"/>
  <c r="O4"/>
  <c r="O5"/>
  <c r="I12" i="9"/>
  <c r="P4" i="8"/>
  <c r="P5"/>
  <c r="J12" i="9"/>
  <c r="M22" i="8"/>
  <c r="M21"/>
</calcChain>
</file>

<file path=xl/sharedStrings.xml><?xml version="1.0" encoding="utf-8"?>
<sst xmlns="http://schemas.openxmlformats.org/spreadsheetml/2006/main" count="645" uniqueCount="245">
  <si>
    <t xml:space="preserve">Всего </t>
  </si>
  <si>
    <t>в том числе :</t>
  </si>
  <si>
    <t>федеральный бюджет</t>
  </si>
  <si>
    <t>краевой бюджет</t>
  </si>
  <si>
    <t>2012 год</t>
  </si>
  <si>
    <t>2013 год</t>
  </si>
  <si>
    <t>Показатель объема услуги: число посетителей</t>
  </si>
  <si>
    <t>бибки</t>
  </si>
  <si>
    <t>автономные</t>
  </si>
  <si>
    <t>бюджетные</t>
  </si>
  <si>
    <t>Наименование услуги и ее содержание: Представление музейных предметов, музейных коллекций путем публичного показа,   воспроизведения в  печатных изданиях, на электронных и других видах носителей, в том  числе в виртуальном режиме</t>
  </si>
  <si>
    <t>музеи</t>
  </si>
  <si>
    <t>Краевое государственное бюджетное учреждение культуры Историко-этнографический музей-заповедник «Шушенское»</t>
  </si>
  <si>
    <t>Краевое государственное бюджетное учреждение культуры «Таймырский краеведческий музей»</t>
  </si>
  <si>
    <t>Краевое государственное бюджетное учреждение культуры Красноярский культурно-исторический музейный комплекс</t>
  </si>
  <si>
    <t>Краевое государственное бюджетное учреждение культуры «Красноярский краевой краеведческий музей»</t>
  </si>
  <si>
    <t>Краевое государственное бюджетное учреждение культуры «Красноярский художественный музей имени В.И. Сурикова»</t>
  </si>
  <si>
    <t>Показатель объема услуги: количество зрителей</t>
  </si>
  <si>
    <t>театры</t>
  </si>
  <si>
    <t>филармония</t>
  </si>
  <si>
    <t>ССУЗы</t>
  </si>
  <si>
    <t>отчет за 2012 год (ПЗ к отчету о бюджете)</t>
  </si>
  <si>
    <t>НФЗ по итогам корректировки 2013 года (1 поправка)</t>
  </si>
  <si>
    <t>ДК</t>
  </si>
  <si>
    <t>Т.В. Веселина</t>
  </si>
  <si>
    <t>Первый заместитель министра культуры  Красноярского края</t>
  </si>
  <si>
    <t>Итого на  
2014-2016 годы</t>
  </si>
  <si>
    <t>Итого на 
2014 -2016 годы</t>
  </si>
  <si>
    <t>Оценка расходов (тыс. руб.), годы</t>
  </si>
  <si>
    <t xml:space="preserve">Статус </t>
  </si>
  <si>
    <t xml:space="preserve">Наименование работы и ее содержание: Формирование, учет, сохранение фондов библиотеки     </t>
  </si>
  <si>
    <t>Наименование работы и ее содержание: Формирование, учет, сохранение фондов музеев</t>
  </si>
  <si>
    <t xml:space="preserve">Наименование работы и ее содержание: Проведение фестивалей,   выставок, смотров,  конкурсов,   конференций и иных  программных   мероприятий, в том числе в рамках международного сотрудничества  </t>
  </si>
  <si>
    <t xml:space="preserve">Краевое государственное автономное учреждение культуры Государственная универсальная научная библиотека Красноярского края  </t>
  </si>
  <si>
    <t>Краевое государственное бюджетное учреждение культуры «Красноярская краевая специальная библиотека – центр социокультурной реабилитации инвалидов по зрению»</t>
  </si>
  <si>
    <t>Краевое государственное бюджетное учреждение культуры Красноярская краевая молодежная библиотека</t>
  </si>
  <si>
    <t>Краевое государственное бюджетное учреждение культуры Красноярская краевая детская библиотека</t>
  </si>
  <si>
    <t>Краевое государственное бюджетное учреждение культуры «Таймырский Дом народного творчества»</t>
  </si>
  <si>
    <t>Краевое государственное бюджетное учреждение культуры «Дом искусств»</t>
  </si>
  <si>
    <t>Краевое государственное автономное учреждение культуры культурно-социальный комплекс «Дворец Труда и Согласия»</t>
  </si>
  <si>
    <t>Краевое государственное автономное учреждение культуры «Центр международных и региональных культурных связей»</t>
  </si>
  <si>
    <t>Краевое государственное бюджетное учреждение культуры «Государственный центр народного творчества Красноярского края»</t>
  </si>
  <si>
    <t>Краевое государственное автономное учреждение культуры Красноярский драматический театр                  им. А.С. Пушкина</t>
  </si>
  <si>
    <t>Краевое государственное автономное учреждение культуры Красноярский государственный театр оперы и балета</t>
  </si>
  <si>
    <t>Краевое государственное бюджетное учреждение культуры Канский драматический театр</t>
  </si>
  <si>
    <t>Краевое государственное бюджетное учреждение культуры «Красноярский кинограф»</t>
  </si>
  <si>
    <t>ГЦНТ, ТДНТ</t>
  </si>
  <si>
    <t>кинограф</t>
  </si>
  <si>
    <t xml:space="preserve">Наименование работы и ее содержание: Методическая работа в установленной сфере деятельности  </t>
  </si>
  <si>
    <t>Краевое государственное автономное образовательное учреждение дополнительного профессионального образования «Красноярский краевой научно-учебный центр кадров культуры»</t>
  </si>
  <si>
    <t>кнуц</t>
  </si>
  <si>
    <t>Краевое государственное автономное учреждение «Красноярский музыкальный театр»</t>
  </si>
  <si>
    <t>Дом офицеров</t>
  </si>
  <si>
    <t>Центр культурных инициатив</t>
  </si>
  <si>
    <t xml:space="preserve">Показатель объема работы: количество мероприятий </t>
  </si>
  <si>
    <t xml:space="preserve">Показатель объема работы: количество  новых  (капитально возобновленных) постановок </t>
  </si>
  <si>
    <t xml:space="preserve">Показатель объема работы: объем фондов </t>
  </si>
  <si>
    <t>Показатель объема работы: количество музейных предметов основного фонда</t>
  </si>
  <si>
    <t>Показатель объема работы: количество мероприятий (конференции, семинары, мастер-классы и др.), в том числе на выезде</t>
  </si>
  <si>
    <t>издания</t>
  </si>
  <si>
    <t>Значение показателя объема услуги (работы)</t>
  </si>
  <si>
    <t>Наименование услуги (работы), показателя объема услуги (работы)</t>
  </si>
  <si>
    <t>внебюджетные источники</t>
  </si>
  <si>
    <t>Руководство и управление в сфере установленных функций органов государственной власти субъектов Российской Федерации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</si>
  <si>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</si>
  <si>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Задача 3.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</si>
  <si>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3.</t>
  </si>
  <si>
    <t>2.2.</t>
  </si>
  <si>
    <t>Ответственный исполнитель, 
соисполнители</t>
  </si>
  <si>
    <t>№</t>
  </si>
  <si>
    <t>Наименование  программы, подпрограммы</t>
  </si>
  <si>
    <t xml:space="preserve">ГРБС </t>
  </si>
  <si>
    <t>Код бюджетной классификации</t>
  </si>
  <si>
    <t>Расходы (тыс. руб.), годы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</si>
  <si>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</si>
  <si>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</si>
  <si>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</si>
  <si>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</si>
  <si>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</si>
  <si>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</si>
  <si>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</si>
  <si>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</si>
  <si>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</si>
  <si>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</si>
  <si>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</si>
  <si>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</si>
  <si>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</si>
  <si>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</si>
  <si>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</si>
  <si>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</si>
  <si>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Итого по программе</t>
  </si>
  <si>
    <t>в том числе:</t>
  </si>
  <si>
    <t>056</t>
  </si>
  <si>
    <t>0804</t>
  </si>
  <si>
    <t>Обеспечение деятельности подведомственных учреждений</t>
  </si>
  <si>
    <t>0801</t>
  </si>
  <si>
    <t>Итого на 2014 -2016 годы</t>
  </si>
  <si>
    <t>08</t>
  </si>
  <si>
    <t>1.1.</t>
  </si>
  <si>
    <t xml:space="preserve">Задача 2. Сохранение и развитие традиционной народной культуры </t>
  </si>
  <si>
    <t>ДТиС</t>
  </si>
  <si>
    <t>521</t>
  </si>
  <si>
    <t>Цель. Создание условий для устойчивого развития отрасли «культура»</t>
  </si>
  <si>
    <t xml:space="preserve">Оснащение муниципальных музеев и библиотек Красноярского края компьютерным оборудованием и программным обеспечением, в том числе для ведения электронного каталога </t>
  </si>
  <si>
    <t xml:space="preserve">Т.В. Веселина 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</si>
  <si>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</si>
  <si>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5144</t>
  </si>
  <si>
    <t>4.6.</t>
  </si>
  <si>
    <t>Статус (государственная программа, подпрограмма)</t>
  </si>
  <si>
    <t>Наименование ГРБС</t>
  </si>
  <si>
    <t xml:space="preserve">Код бюджетной классификации 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</si>
  <si>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</si>
  <si>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</si>
  <si>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</si>
  <si>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</si>
  <si>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</si>
  <si>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Подпрограмма 2</t>
  </si>
  <si>
    <t>Подпрограмма 3</t>
  </si>
  <si>
    <t>Сохранение культурного наследия</t>
  </si>
  <si>
    <t>Поддержка искусства                         и народного творчества</t>
  </si>
  <si>
    <t>Цель. Сохранение и эффективное использование культурного наследия Идринского района</t>
  </si>
  <si>
    <t>Задача 1. Развитие библиотечного дела</t>
  </si>
  <si>
    <t>Обеспечение деятельности (оказание услуг) МБУК "МБС" Идринского района</t>
  </si>
  <si>
    <t>ОКСМ</t>
  </si>
  <si>
    <t>863</t>
  </si>
  <si>
    <t>Итого  по задаче1</t>
  </si>
  <si>
    <t>Количество посетителей составит 30,0 тыс. чел.</t>
  </si>
  <si>
    <t>Обеспечение деятельности (оказание услуг) МБУК ИРКМ</t>
  </si>
  <si>
    <t>Количество посетителей составит 3,6 тыс. чел.</t>
  </si>
  <si>
    <t>Задача 2. Развитие музейного дела</t>
  </si>
  <si>
    <t>СПРАВОЧНО</t>
  </si>
  <si>
    <t>Поступления от приносящей доход деятельности</t>
  </si>
  <si>
    <t>Начальник ОКСМ</t>
  </si>
  <si>
    <t>0702</t>
  </si>
  <si>
    <t>Задача 1. Поддержка  дополнительного образования детей  в сфере культуры</t>
  </si>
  <si>
    <t>обеспечение деятельности (оказание услуг) МБОУДОД Идринская ДШИ</t>
  </si>
  <si>
    <t>Количество учащихся составит 224 чел.ежегодно</t>
  </si>
  <si>
    <t>Обеспечение деятельности (оказание услуг) подведомственных учреждений :МБУК Идринский РДК,                    МБУК МЦ "Альтаир"</t>
  </si>
  <si>
    <t>Поступления от приносящей доход деятельности МБУК Идринский РДК</t>
  </si>
  <si>
    <t>Количество мероприятий составит 526 ед.Количество зрителей 55,905 тыс чел.</t>
  </si>
  <si>
    <t>Количество мероприятий составит 192 ед.Количество зрителей 4,6 тыс чел.</t>
  </si>
  <si>
    <t>Поступления от приносящей доход деятельности МБУКМЦ "Альтаир"</t>
  </si>
  <si>
    <t>Поступления от добровольных пожертвований МБОУДОД  Идринская ДШИ</t>
  </si>
  <si>
    <t>Число участников на платных мероприятиях-29560</t>
  </si>
  <si>
    <t>Число участников на платных мероприятиях-3067</t>
  </si>
  <si>
    <t>Цель. Обеспечение доступа населения Идринского района к культурным благам и участию в культурной жизни</t>
  </si>
  <si>
    <t>Цель. Обеспечение условий для эффективного развития и модернизации образовательного учреждения дополнительного образования детей  в сфере  искусства и культуры в соответствии с приоритетами государственной и муниципальной политики  в области  искусства и культуры.</t>
  </si>
  <si>
    <t>Муниципальная программа</t>
  </si>
  <si>
    <t>"Поддержка искусства и народного творчества"</t>
  </si>
  <si>
    <t xml:space="preserve">"Сохранение культурного наследия"
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</si>
  <si>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</si>
  <si>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Задача 1. Внедрение информационно-коммуникационных технологий в отрасли «культура», развитие информационных ресурсов</t>
  </si>
  <si>
    <t xml:space="preserve">Софинансирование оснащения муниципальных музеев и библиотек Красноярского края компьютерным оборудованием и программным обеспечением, в том числе для ведения электронного каталога </t>
  </si>
  <si>
    <t xml:space="preserve">Оснащение программным обеспечением 1 муниципального музея  (МБУК ИРКМ)        </t>
  </si>
  <si>
    <t>Задача 2. Развитие инфраструктуры отрасли «культура»</t>
  </si>
  <si>
    <t>Обеспечение реализации муниципальной программы на 100%</t>
  </si>
  <si>
    <t>районный бюджет</t>
  </si>
  <si>
    <t>субсидии с краевого бюджета</t>
  </si>
  <si>
    <t xml:space="preserve">Прогноз сводных показателей муниципальных заданий </t>
  </si>
  <si>
    <t>Наименование  муниципальной программы,муниципальной подпрограммы</t>
  </si>
  <si>
    <t>Обеспечение условий реализации муниципальной программы и прочие мероприятия</t>
  </si>
  <si>
    <t>Обеспечение реализации муниципальной программы и прочие мероприятия</t>
  </si>
  <si>
    <t>Наименование услуги и ее содержание: Показ  спектаклей,  концертов, концертных программ, иных зрелищных и спортивно-массовых мероприятий, видеопоказ</t>
  </si>
  <si>
    <t>Наименование услуги и ее содержание: Реализация дополнительных  образовательных программ для детей в области культуры и искусства</t>
  </si>
  <si>
    <t>Наименование работы и ее содержание: Создание  спектаклей, концертов, концертных программ, иных зрелищных  и спортивно-массовых мероприятий</t>
  </si>
  <si>
    <t>Наименование работы и ее содержание: Сохранение нематериального   культурного наследия народов Российской  Федерации в области традиционной  народной культуры   и его популяризация</t>
  </si>
  <si>
    <t>Показатель объема услуги: количество посетителей</t>
  </si>
  <si>
    <t>Обеспечение деятельности (оказание услуг) МБУК Идринский РДК</t>
  </si>
  <si>
    <t>Обеспечение деятельности (оказание услуг) МБУК МЦ "Альтаир</t>
  </si>
  <si>
    <t>Обеспечение деятельности (оказание услуг) МБОУДОД Идринская ДШИ</t>
  </si>
  <si>
    <t>Наименование услуги и ее содержание: Проведение фестивалей,   выставок, смотров,  конкурсов,   конференций и иных  программных   мероприятийсилами учреждения, в т.ч. в рамках зональных и краевых конкурсов</t>
  </si>
  <si>
    <t xml:space="preserve">Наименование услуги и ее содержание: Библиотечное, библиографическое и информационное обслуживание  пользователей  библиотеки          </t>
  </si>
  <si>
    <t>Показатель объема работы:  количество мероприятий(конференции,семинары, мастер-классы и др.).</t>
  </si>
  <si>
    <t>Обеспечение деятельности (оказание услуг) МБУК МЦ "Альтаир"</t>
  </si>
  <si>
    <t>Подпрограмма 2."Сохранение культурного наследия"</t>
  </si>
  <si>
    <t>Подпрограмма 2. "Сохранение культурного наследия"</t>
  </si>
  <si>
    <t>Подпрограмма 1. "Поддержка искусства и народного творчества"</t>
  </si>
  <si>
    <t>Подпрограмма 1." Поддержка искусства и народного творчества"</t>
  </si>
  <si>
    <t>Подпрограмма 1. "Поддержка искусстваи народного творчества"</t>
  </si>
  <si>
    <t>Подпрограмма 1. "Поддержка искусства  и народного творчества"</t>
  </si>
  <si>
    <t>Наименование работы и ее содержание: Работа по реализации программ и проектов направленных на поддержку и развитие молодежной, социальной, творческой, гражданской инициативы, проектной и досуговой деятельности, общественных объединений, движений, организаций, трудового воспитания, летнего отдыха и информационного обеспечения в Идринском районе</t>
  </si>
  <si>
    <t>Показатель объема работы: количество программ</t>
  </si>
  <si>
    <t xml:space="preserve">«Создание условий для развития культуры» </t>
  </si>
  <si>
    <t>Расходы местногобюджета на оказание (выполнение) муниципальной услуги (работы), тыс. руб.</t>
  </si>
  <si>
    <t>0418100</t>
  </si>
  <si>
    <t>МЦ ИНЫЕ</t>
  </si>
  <si>
    <t>МУЗЕЙ</t>
  </si>
  <si>
    <t>0428100</t>
  </si>
  <si>
    <t>РДК+МЦ+ПЛАТНЫЕ</t>
  </si>
  <si>
    <t>МБС+ПЛАТНЫЕ</t>
  </si>
  <si>
    <t>ДШИ+ПЛАТНЫЕ</t>
  </si>
  <si>
    <t>0437488</t>
  </si>
  <si>
    <t>0438124</t>
  </si>
  <si>
    <t>0437485</t>
  </si>
  <si>
    <t>0438306</t>
  </si>
  <si>
    <t>0430021</t>
  </si>
  <si>
    <t>0438100</t>
  </si>
  <si>
    <t>04</t>
  </si>
  <si>
    <t>8100</t>
  </si>
  <si>
    <t>611</t>
  </si>
  <si>
    <t>612</t>
  </si>
  <si>
    <t>7485</t>
  </si>
  <si>
    <t>8306</t>
  </si>
  <si>
    <t>7488</t>
  </si>
  <si>
    <t>8124</t>
  </si>
  <si>
    <t xml:space="preserve">Комплектование книжных фондов библиотек муниципального образования Идринского района   </t>
  </si>
  <si>
    <t xml:space="preserve">Комплектование книжных фондов библиотек муниципального образования Идринского района (софинансирование) </t>
  </si>
  <si>
    <t>0021</t>
  </si>
  <si>
    <t>120</t>
  </si>
  <si>
    <t>121</t>
  </si>
  <si>
    <t>122</t>
  </si>
  <si>
    <t>244</t>
  </si>
  <si>
    <t>110</t>
  </si>
  <si>
    <t>111</t>
  </si>
  <si>
    <t>112</t>
  </si>
  <si>
    <t>0810</t>
  </si>
  <si>
    <t>1021</t>
  </si>
  <si>
    <t>1031</t>
  </si>
  <si>
    <t>пополнение книжного фонда библиотек Идринского района</t>
  </si>
  <si>
    <t>Информация о ресурсном обеспечении и прогнозной оценке расходов на реализацию целей 
муниципальной программы  «Создание условий для развития культуры»  с учетом источников финансирования, 
в том числе средств федерального бюджета и бюджетов Идринского района</t>
  </si>
  <si>
    <t>1030</t>
  </si>
  <si>
    <r>
      <t xml:space="preserve">Перечень мероприятий подпрограммы </t>
    </r>
    <r>
      <rPr>
        <b/>
        <sz val="14"/>
        <rFont val="Times New Roman"/>
        <family val="1"/>
        <charset val="204"/>
      </rPr>
      <t>«Сохранение культурного наследия</t>
    </r>
    <r>
      <rPr>
        <b/>
        <sz val="14"/>
        <color indexed="8"/>
        <rFont val="Times New Roman"/>
        <family val="1"/>
        <charset val="204"/>
      </rPr>
      <t>»
с указанием объема средств на их реализацию и ожидаемых результатов</t>
    </r>
  </si>
  <si>
    <t>0</t>
  </si>
  <si>
    <t>«Развитие системы непрерывного профессионального образования                в области культуры» , оснащение музыкальными инструментами МБОУДОД Идринская детская школа искусств</t>
  </si>
  <si>
    <t>«Развитие системы непрерывного профессионального образования                в области культуры» , оснащение музыкальными инструментами МБОУДОД Идринская детская школа искусств (софинансирование)</t>
  </si>
  <si>
    <t>2.3</t>
  </si>
  <si>
    <t>2.4.</t>
  </si>
  <si>
    <t>370</t>
  </si>
  <si>
    <t>340</t>
  </si>
  <si>
    <t>60</t>
  </si>
  <si>
    <t>5014</t>
  </si>
  <si>
    <t>116,8184</t>
  </si>
  <si>
    <t>4</t>
  </si>
  <si>
    <t>163,9</t>
  </si>
  <si>
    <t>субсидии с федерального бюджета</t>
  </si>
  <si>
    <t>264</t>
  </si>
  <si>
    <t>0415014</t>
  </si>
  <si>
    <t>9</t>
  </si>
  <si>
    <t xml:space="preserve">Информация о распределении планируемых расходов  
по отдельным мероприятиям программы, подпрограмма муниципальной программы «Создание условий для развития культуры» </t>
  </si>
  <si>
    <t>Приложение № 1                                                                                                            к постановлению  администрации района от 08.12.2014 № 640-п                                                                                                             Приложение № 3
к  паспорту муниципальной программы Идринского рйона                                                                     «Создание условий для развития культуры»  
на 2014-2016 годы</t>
  </si>
  <si>
    <t>Приложение № 2                                                                                                                     к постановлению  администрации района                                                                                       от 08.12.2014 № 640-п                                                                          Приложение № 4
к паспорту муниципальной программы  
«Создание условий для развития культуры»                                                на 2014-2016 годы</t>
  </si>
  <si>
    <t>Приложение № 3                                                                                                                      к постановлению    администрации района от 08.12.2014 № 640-п                               Приложение № 5
к паспорту муниципальной программы  «Создание условий для развития культуры» на 2014-2016 годы</t>
  </si>
  <si>
    <t>Приложение № 4                                                                              к постановлению   администрации района от 08.12.2014 №640-п                                                                  Приложение № 2 
к подпрограмме «Поддержка искусства и народного творчества», реализуемой в рамках муниципальной программы «Создание условий для развития культуры»  на 2014-2016 годы</t>
  </si>
  <si>
    <r>
      <t xml:space="preserve">Приложение № 5                                                                                      к постановлению   админисрации района от 08.12.2014 № 640-п                                                                              Приложение № 2 
к подпрограмме </t>
    </r>
    <r>
      <rPr>
        <sz val="14"/>
        <rFont val="Times New Roman"/>
        <family val="1"/>
        <charset val="204"/>
      </rPr>
      <t>«Сохранение культурного наследия</t>
    </r>
    <r>
      <rPr>
        <sz val="14"/>
        <color indexed="8"/>
        <rFont val="Times New Roman"/>
        <family val="1"/>
        <charset val="204"/>
      </rPr>
      <t>», реализуемой в рамках муниципальной программы  «Создание условий для развития культуры»  на 2014-2016 годы</t>
    </r>
  </si>
  <si>
    <t xml:space="preserve">Приложение № 6                                                                                      к постановлению администрации района   от 08.12.2014 № 640-п                                                               Приложение № 2 
к подпрограмме «Обеспечение условий реализации муниципальной программы и прочие мероприятия», реализуемой в рамках муниципальной программы «Создание условий для развития культуры» на 2014-2016 годы
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</si>
</sst>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_-* #,##0.0_р_._-;\-* #,##0.0_р_._-;_-* &quot;-&quot;?_р_._-;_-@_-"/>
    <numFmt numFmtId="166" formatCode="0.0"/>
    <numFmt numFmtId="172" formatCode="_-* #,##0.000_р_._-;\-* #,##0.000_р_._-;_-* &quot;-&quot;?_р_._-;_-@_-"/>
    <numFmt numFmtId="174" formatCode="#,##0.000"/>
    <numFmt numFmtId="175" formatCode="0.000"/>
    <numFmt numFmtId="177" formatCode="0.00000"/>
  </numFmts>
  <fonts count="15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charset val="204"/>
    </font>
    <font>
      <sz val="14"/>
      <color indexed="9"/>
      <name val="Times New Roman"/>
      <family val="1"/>
      <charset val="204"/>
    </font>
    <font>
      <sz val="14"/>
      <color indexed="8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</cellStyleXfs>
  <cellXfs count="230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wrapText="1"/>
    </xf>
    <xf numFmtId="0" fontId="6" fillId="0" borderId="0" xfId="0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7" fillId="0" borderId="0" xfId="0" applyFont="1"/>
    <xf numFmtId="165" fontId="7" fillId="0" borderId="0" xfId="0" applyNumberFormat="1" applyFont="1"/>
    <xf numFmtId="0" fontId="6" fillId="0" borderId="0" xfId="1" applyFont="1" applyAlignment="1">
      <alignment wrapText="1"/>
    </xf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right" vertical="top" wrapText="1"/>
    </xf>
    <xf numFmtId="0" fontId="6" fillId="0" borderId="1" xfId="1" applyFont="1" applyFill="1" applyBorder="1" applyAlignment="1">
      <alignment horizontal="right" vertical="top" wrapText="1"/>
    </xf>
    <xf numFmtId="166" fontId="6" fillId="0" borderId="0" xfId="1" applyNumberFormat="1" applyFont="1" applyAlignment="1">
      <alignment vertical="top" wrapText="1"/>
    </xf>
    <xf numFmtId="164" fontId="6" fillId="0" borderId="1" xfId="1" applyNumberFormat="1" applyFont="1" applyFill="1" applyBorder="1" applyAlignment="1">
      <alignment vertical="top" wrapText="1"/>
    </xf>
    <xf numFmtId="0" fontId="6" fillId="0" borderId="2" xfId="1" applyFont="1" applyBorder="1" applyAlignment="1">
      <alignment vertical="top" wrapText="1"/>
    </xf>
    <xf numFmtId="164" fontId="6" fillId="0" borderId="0" xfId="1" applyNumberFormat="1" applyFont="1" applyAlignment="1">
      <alignment vertical="top" wrapText="1"/>
    </xf>
    <xf numFmtId="2" fontId="6" fillId="0" borderId="0" xfId="1" applyNumberFormat="1" applyFont="1" applyAlignment="1">
      <alignment vertical="top" wrapText="1"/>
    </xf>
    <xf numFmtId="3" fontId="6" fillId="0" borderId="1" xfId="1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right"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 vertical="top" wrapText="1"/>
    </xf>
    <xf numFmtId="0" fontId="4" fillId="0" borderId="0" xfId="1" applyFont="1" applyFill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Alignment="1">
      <alignment vertical="top" wrapText="1"/>
    </xf>
    <xf numFmtId="175" fontId="4" fillId="0" borderId="1" xfId="1" applyNumberFormat="1" applyFont="1" applyFill="1" applyBorder="1" applyAlignment="1">
      <alignment vertical="top" wrapText="1"/>
    </xf>
    <xf numFmtId="175" fontId="4" fillId="0" borderId="1" xfId="1" applyNumberFormat="1" applyFont="1" applyFill="1" applyBorder="1" applyAlignment="1">
      <alignment horizontal="right" vertical="top" wrapText="1"/>
    </xf>
    <xf numFmtId="174" fontId="4" fillId="0" borderId="1" xfId="1" applyNumberFormat="1" applyFont="1" applyFill="1" applyBorder="1" applyAlignment="1">
      <alignment vertical="top" wrapText="1"/>
    </xf>
    <xf numFmtId="175" fontId="6" fillId="0" borderId="1" xfId="1" applyNumberFormat="1" applyFont="1" applyFill="1" applyBorder="1" applyAlignment="1">
      <alignment vertical="top" wrapText="1"/>
    </xf>
    <xf numFmtId="174" fontId="6" fillId="0" borderId="1" xfId="1" applyNumberFormat="1" applyFont="1" applyFill="1" applyBorder="1" applyAlignment="1">
      <alignment vertical="top" wrapText="1"/>
    </xf>
    <xf numFmtId="1" fontId="6" fillId="0" borderId="1" xfId="1" applyNumberFormat="1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vertical="top" wrapText="1"/>
    </xf>
    <xf numFmtId="0" fontId="9" fillId="0" borderId="0" xfId="0" applyFont="1" applyAlignment="1">
      <alignment wrapText="1"/>
    </xf>
    <xf numFmtId="165" fontId="9" fillId="0" borderId="0" xfId="0" applyNumberFormat="1" applyFont="1" applyAlignment="1">
      <alignment wrapText="1"/>
    </xf>
    <xf numFmtId="0" fontId="11" fillId="0" borderId="0" xfId="0" applyFont="1"/>
    <xf numFmtId="165" fontId="11" fillId="0" borderId="0" xfId="0" applyNumberFormat="1" applyFont="1"/>
    <xf numFmtId="164" fontId="9" fillId="0" borderId="0" xfId="0" applyNumberFormat="1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wrapText="1"/>
    </xf>
    <xf numFmtId="0" fontId="6" fillId="0" borderId="0" xfId="0" applyFont="1" applyAlignment="1">
      <alignment horizontal="right" wrapText="1"/>
    </xf>
    <xf numFmtId="9" fontId="7" fillId="0" borderId="0" xfId="3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72" fontId="8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172" fontId="6" fillId="0" borderId="1" xfId="0" applyNumberFormat="1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172" fontId="6" fillId="0" borderId="0" xfId="0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2" fillId="0" borderId="0" xfId="0" applyFont="1" applyAlignment="1">
      <alignment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72" fontId="6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72" fontId="6" fillId="0" borderId="0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Alignment="1">
      <alignment wrapText="1"/>
    </xf>
    <xf numFmtId="2" fontId="6" fillId="0" borderId="0" xfId="0" applyNumberFormat="1" applyFont="1" applyFill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justify" wrapText="1"/>
    </xf>
    <xf numFmtId="0" fontId="6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vertical="top" wrapText="1"/>
    </xf>
    <xf numFmtId="0" fontId="12" fillId="0" borderId="0" xfId="0" applyFont="1" applyFill="1" applyAlignment="1">
      <alignment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72" fontId="8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49" fontId="6" fillId="0" borderId="7" xfId="0" applyNumberFormat="1" applyFont="1" applyFill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right" vertical="top" wrapText="1"/>
    </xf>
    <xf numFmtId="49" fontId="6" fillId="0" borderId="8" xfId="0" applyNumberFormat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left" vertical="top" wrapText="1"/>
    </xf>
    <xf numFmtId="49" fontId="8" fillId="0" borderId="11" xfId="0" applyNumberFormat="1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Fill="1" applyAlignment="1">
      <alignment vertical="top" wrapText="1"/>
    </xf>
    <xf numFmtId="0" fontId="6" fillId="0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wrapText="1"/>
    </xf>
    <xf numFmtId="2" fontId="8" fillId="0" borderId="1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177" fontId="8" fillId="0" borderId="1" xfId="0" applyNumberFormat="1" applyFont="1" applyBorder="1" applyAlignment="1">
      <alignment horizontal="right" vertical="top" wrapText="1"/>
    </xf>
    <xf numFmtId="177" fontId="6" fillId="0" borderId="1" xfId="0" applyNumberFormat="1" applyFont="1" applyBorder="1" applyAlignment="1">
      <alignment horizontal="right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left" wrapText="1"/>
    </xf>
    <xf numFmtId="0" fontId="8" fillId="0" borderId="7" xfId="1" applyFont="1" applyFill="1" applyBorder="1" applyAlignment="1">
      <alignment horizontal="left" wrapText="1"/>
    </xf>
    <xf numFmtId="0" fontId="8" fillId="0" borderId="6" xfId="1" applyFont="1" applyFill="1" applyBorder="1" applyAlignment="1">
      <alignment horizontal="left" wrapText="1"/>
    </xf>
    <xf numFmtId="0" fontId="8" fillId="0" borderId="2" xfId="1" applyFont="1" applyFill="1" applyBorder="1" applyAlignment="1">
      <alignment horizontal="left" wrapText="1"/>
    </xf>
    <xf numFmtId="0" fontId="8" fillId="0" borderId="7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top" wrapText="1"/>
    </xf>
    <xf numFmtId="0" fontId="8" fillId="0" borderId="1" xfId="1" applyFont="1" applyBorder="1" applyAlignment="1">
      <alignment horizontal="left" wrapText="1"/>
    </xf>
    <xf numFmtId="0" fontId="8" fillId="0" borderId="1" xfId="1" applyFont="1" applyBorder="1" applyAlignment="1">
      <alignment horizontal="left"/>
    </xf>
    <xf numFmtId="0" fontId="6" fillId="0" borderId="0" xfId="1" applyFont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49" fontId="10" fillId="0" borderId="0" xfId="0" applyNumberFormat="1" applyFont="1" applyFill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7" xfId="0" applyNumberFormat="1" applyFont="1" applyFill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top" wrapText="1"/>
    </xf>
    <xf numFmtId="165" fontId="6" fillId="0" borderId="4" xfId="0" applyNumberFormat="1" applyFont="1" applyFill="1" applyBorder="1" applyAlignment="1">
      <alignment horizontal="center" vertical="top" wrapText="1"/>
    </xf>
    <xf numFmtId="165" fontId="6" fillId="0" borderId="11" xfId="0" applyNumberFormat="1" applyFont="1" applyFill="1" applyBorder="1" applyAlignment="1">
      <alignment horizontal="center" vertical="top" wrapText="1"/>
    </xf>
    <xf numFmtId="49" fontId="6" fillId="0" borderId="0" xfId="4" applyNumberFormat="1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49" fontId="8" fillId="0" borderId="0" xfId="0" applyNumberFormat="1" applyFont="1" applyFill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left" vertical="top" wrapText="1"/>
    </xf>
    <xf numFmtId="165" fontId="6" fillId="0" borderId="11" xfId="0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Процентный" xfId="3" builtinId="5"/>
    <cellStyle name="Стиль 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&#1070;&#1088;&#1100;&#1077;&#1074;&#1072;/Application%20Data/Microsoft/Excel/&#1057;&#1069;&#1056;/&#1050;&#1051;&#1040;&#1057;&#1057;&#1048;&#1060;&#1048;&#1050;&#1040;&#1062;&#1048;&#1071;-&#1043;&#1055;%2020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0.0.&#1041;&#1070;&#1044;&#1046;&#1045;&#1058;%202014-2016%20&#1075;&#1086;&#1076;&#1086;&#1074;/&#1048;&#1053;&#1044;&#1045;&#1050;&#1057;&#1040;&#1062;&#1048;&#1071;%20&#1048;%20&#1051;&#1048;&#1052;&#1048;&#1058;&#1067;/&#1051;&#1048;&#1052;&#1048;&#1058;&#1067;%20&#1059;&#1063;&#1056;&#1045;&#1046;&#1044;&#1045;&#1053;&#1048;&#1071;&#1052;_23.07.20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1.2.%20&#1054;&#1058;&#1063;&#1045;&#1058;%20&#1052;&#1048;&#1053;&#1050;&#1059;&#1051;&#1068;&#1058;&#1059;&#1056;&#1067;%20&#1050;&#1056;&#1040;&#1071;%20&#1047;&#1040;%202012%20&#1043;&#1054;&#1044;/&#1054;&#1094;&#1077;&#1085;&#1082;&#1072;%20&#1074;&#1099;&#1087;&#1086;&#1083;&#1085;&#1077;&#1085;&#1080;&#1103;%20&#1075;&#1086;&#1089;&#1091;&#1076;&#1072;&#1088;&#1089;&#1090;&#1074;&#1077;&#1085;&#1085;&#1086;&#1075;&#1086;%2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4.%20&#1055;&#1056;&#1048;&#1050;&#1040;&#1047;&#1067;/5.%20&#1055;&#1088;&#1080;&#1082;&#1072;&#1079;%20-%20&#1088;&#1072;&#1079;&#1084;&#1077;&#1088;&#1099;%20&#1053;&#1060;&#1047;%20-%20&#1052;.&#1041;&#1088;&#1077;&#1089;&#1090;&#1077;&#1088;/&#1087;&#1086;&#1089;&#1083;&#1077;%20&#1074;&#1077;&#1089;&#1077;&#1085;&#1085;&#1077;&#1081;%20&#1082;&#1086;&#1088;&#1088;&#1077;&#1082;&#1090;&#1080;&#1088;&#1086;&#1074;&#1082;&#1080;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5.%20&#1055;&#1088;&#1080;&#1082;&#1072;&#1079;%20-%20&#1088;&#1072;&#1079;&#1084;&#1077;&#1088;&#1099;%20&#1053;&#1060;&#1047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&#1070;&#1088;&#1100;&#1077;&#1074;&#1072;/Application%20Data/Microsoft/Excel/&#1050;&#1086;&#1087;&#1080;&#1103;%20&#1053;&#1086;&#1088;&#1084;&#1072;&#1090;&#1080;&#1074;&#1099;%20&#1079;&#1072;&#1090;&#1088;&#1072;&#1090;%20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Doc/&#1070;&#1088;&#1100;&#1077;&#1074;&#1072;/1.2.%20&#1054;&#1058;&#1063;&#1045;&#1058;%20&#1052;&#1048;&#1053;&#1050;&#1059;&#1051;&#1068;&#1058;&#1059;&#1056;&#1067;%20&#1050;&#1056;&#1040;&#1071;%20&#1047;&#1040;%202012%20&#1043;&#1054;&#1044;/&#1054;&#1090;&#1095;&#1077;&#1090;%20&#1079;&#1072;%20&#1075;&#1086;&#1076;%20&#1087;&#1086;%20&#1087;&#1086;&#1082;&#1072;&#1079;&#1072;&#1090;&#1077;&#1083;&#1103;&#1084;%20&#1082;%201%20&#1084;&#1072;&#1088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ГП-ПП"/>
      <sheetName val="ПП1"/>
      <sheetName val="ПП2"/>
      <sheetName val="ПП3"/>
      <sheetName val="ПП4"/>
      <sheetName val="ПП5"/>
      <sheetName val="ГП-ГЗ"/>
      <sheetName val="АНАЛИЗ ЛИМИТОВ"/>
      <sheetName val="СВЕРКА гз"/>
      <sheetName val="классиф"/>
      <sheetName val="ПП4от Минэка"/>
    </sheetNames>
    <sheetDataSet>
      <sheetData sheetId="0" refreshError="1"/>
      <sheetData sheetId="1" refreshError="1"/>
      <sheetData sheetId="2" refreshError="1"/>
      <sheetData sheetId="3">
        <row r="85">
          <cell r="J85">
            <v>6929</v>
          </cell>
          <cell r="K85">
            <v>6929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/>
      <sheetData sheetId="1" refreshError="1"/>
      <sheetData sheetId="2">
        <row r="29">
          <cell r="E29">
            <v>9967.1</v>
          </cell>
          <cell r="F29">
            <v>12276.5</v>
          </cell>
          <cell r="G29">
            <v>12276.5</v>
          </cell>
        </row>
        <row r="33">
          <cell r="T33">
            <v>2246.8000000000002</v>
          </cell>
          <cell r="U33">
            <v>2129.6999999999994</v>
          </cell>
          <cell r="V33">
            <v>2129.6999999999994</v>
          </cell>
        </row>
        <row r="47">
          <cell r="E47">
            <v>64649.000000000007</v>
          </cell>
          <cell r="F47">
            <v>79418.699999999983</v>
          </cell>
          <cell r="G47">
            <v>79418.699999999983</v>
          </cell>
          <cell r="T47">
            <v>-3217.2</v>
          </cell>
          <cell r="U47">
            <v>-3217.2</v>
          </cell>
          <cell r="V47">
            <v>-3217.2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ТЗУ"/>
      <sheetName val="Дома, Центры"/>
      <sheetName val="кинограф"/>
      <sheetName val="библиотеки"/>
      <sheetName val="музеи"/>
      <sheetName val="образование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135">
          <cell r="E135">
            <v>250970</v>
          </cell>
        </row>
      </sheetData>
      <sheetData sheetId="5"/>
      <sheetData sheetId="6"/>
      <sheetData sheetId="7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D12">
            <v>135452</v>
          </cell>
        </row>
        <row r="13">
          <cell r="D13">
            <v>136492</v>
          </cell>
        </row>
        <row r="14">
          <cell r="D14">
            <v>89389</v>
          </cell>
        </row>
        <row r="15">
          <cell r="D15">
            <v>66931</v>
          </cell>
        </row>
        <row r="16">
          <cell r="D16">
            <v>34280</v>
          </cell>
        </row>
        <row r="17">
          <cell r="D17">
            <v>52650</v>
          </cell>
        </row>
        <row r="18">
          <cell r="D18">
            <v>57200</v>
          </cell>
        </row>
        <row r="19">
          <cell r="D19">
            <v>42000</v>
          </cell>
        </row>
        <row r="20">
          <cell r="D20">
            <v>105911</v>
          </cell>
        </row>
      </sheetData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/>
      <sheetData sheetId="1"/>
      <sheetData sheetId="2"/>
      <sheetData sheetId="3"/>
      <sheetData sheetId="4"/>
      <sheetData sheetId="5">
        <row r="21">
          <cell r="D21">
            <v>290000</v>
          </cell>
        </row>
        <row r="22">
          <cell r="D22">
            <v>235080</v>
          </cell>
          <cell r="G22">
            <v>235500</v>
          </cell>
          <cell r="J22">
            <v>235550</v>
          </cell>
        </row>
      </sheetData>
      <sheetData sheetId="6"/>
      <sheetData sheetId="7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/>
      <sheetData sheetId="1"/>
      <sheetData sheetId="2"/>
      <sheetData sheetId="3"/>
      <sheetData sheetId="4"/>
      <sheetData sheetId="5">
        <row r="42">
          <cell r="F42">
            <v>1518464.4185500001</v>
          </cell>
          <cell r="I42">
            <v>1442214.0064999999</v>
          </cell>
          <cell r="L42">
            <v>1466152.7714099998</v>
          </cell>
        </row>
      </sheetData>
      <sheetData sheetId="6">
        <row r="78">
          <cell r="N78">
            <v>1687.4</v>
          </cell>
          <cell r="Q78">
            <v>1763.9</v>
          </cell>
          <cell r="T78">
            <v>1807.6</v>
          </cell>
        </row>
      </sheetData>
      <sheetData sheetId="7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БЮДЖЕТНЫЕ"/>
      <sheetName val="СВОД АВТОНОМНЫЕ"/>
      <sheetName val="ТЗУ автон"/>
      <sheetName val="ТЗУ бюджетные"/>
      <sheetName val="Филармония"/>
      <sheetName val="Библиотеки авто "/>
      <sheetName val="Библиотеки бюдж"/>
      <sheetName val="музеи"/>
      <sheetName val="образование"/>
      <sheetName val="доп образ авто"/>
      <sheetName val="кинограф"/>
      <sheetName val="дома бюджет"/>
      <sheetName val="дома авто"/>
      <sheetName val="шаблон"/>
      <sheetName val="Филармония (2)"/>
      <sheetName val="Отчет по субсид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7">
          <cell r="E7">
            <v>53</v>
          </cell>
        </row>
        <row r="8">
          <cell r="E8">
            <v>200</v>
          </cell>
        </row>
        <row r="9">
          <cell r="E9">
            <v>40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T109"/>
  <sheetViews>
    <sheetView zoomScale="85" zoomScaleNormal="85" zoomScaleSheetLayoutView="75" workbookViewId="0">
      <selection activeCell="A2" sqref="A2:M2"/>
    </sheetView>
  </sheetViews>
  <sheetFormatPr defaultRowHeight="15.75" outlineLevelCol="1"/>
  <cols>
    <col min="1" max="1" width="20.7109375" style="2" customWidth="1"/>
    <col min="2" max="2" width="20.140625" style="2" customWidth="1"/>
    <col min="3" max="3" width="24.7109375" style="2" customWidth="1"/>
    <col min="4" max="4" width="8" style="2" customWidth="1"/>
    <col min="5" max="5" width="7.140625" style="2" customWidth="1"/>
    <col min="6" max="6" width="3.28515625" style="2" customWidth="1"/>
    <col min="7" max="7" width="3" style="2" customWidth="1"/>
    <col min="8" max="8" width="5.85546875" style="2" customWidth="1"/>
    <col min="9" max="9" width="7.5703125" style="2" customWidth="1"/>
    <col min="10" max="10" width="16" style="2" customWidth="1"/>
    <col min="11" max="11" width="18.140625" style="2" customWidth="1"/>
    <col min="12" max="12" width="18.85546875" style="2" customWidth="1"/>
    <col min="13" max="13" width="20.28515625" style="2" customWidth="1"/>
    <col min="14" max="14" width="12.5703125" style="2" customWidth="1"/>
    <col min="15" max="15" width="16.28515625" style="2" hidden="1" customWidth="1" outlineLevel="1"/>
    <col min="16" max="17" width="16.140625" style="2" hidden="1" customWidth="1" outlineLevel="1"/>
    <col min="18" max="18" width="0" style="2" hidden="1" customWidth="1" outlineLevel="1"/>
    <col min="19" max="19" width="9.140625" style="2" collapsed="1"/>
    <col min="20" max="20" width="13.85546875" style="2" bestFit="1" customWidth="1"/>
    <col min="21" max="16384" width="9.140625" style="2"/>
  </cols>
  <sheetData>
    <row r="1" spans="1:20" ht="130.5" customHeight="1">
      <c r="A1" s="51"/>
      <c r="B1" s="51"/>
      <c r="C1" s="51"/>
      <c r="D1" s="51"/>
      <c r="E1" s="51"/>
      <c r="F1" s="51"/>
      <c r="G1" s="51"/>
      <c r="H1" s="51"/>
      <c r="I1" s="154" t="s">
        <v>239</v>
      </c>
      <c r="J1" s="154"/>
      <c r="K1" s="154"/>
      <c r="L1" s="154"/>
      <c r="M1" s="154"/>
    </row>
    <row r="2" spans="1:20" ht="51" customHeight="1">
      <c r="A2" s="155" t="s">
        <v>238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20" ht="18.75">
      <c r="A3" s="51"/>
      <c r="B3" s="51"/>
      <c r="C3" s="51"/>
      <c r="D3" s="51"/>
      <c r="E3" s="51"/>
      <c r="F3" s="65">
        <v>8</v>
      </c>
      <c r="G3" s="51"/>
      <c r="H3" s="51"/>
      <c r="I3" s="51"/>
      <c r="J3" s="51"/>
      <c r="K3" s="51"/>
      <c r="L3" s="51"/>
      <c r="M3" s="51"/>
      <c r="O3" s="2">
        <f>3273967.4+28000</f>
        <v>3301967.4</v>
      </c>
      <c r="P3" s="2">
        <v>3307058.1</v>
      </c>
      <c r="Q3" s="2">
        <v>2895283.8</v>
      </c>
    </row>
    <row r="4" spans="1:20" ht="34.5" customHeight="1">
      <c r="A4" s="156" t="s">
        <v>108</v>
      </c>
      <c r="B4" s="156" t="s">
        <v>70</v>
      </c>
      <c r="C4" s="156" t="s">
        <v>109</v>
      </c>
      <c r="D4" s="156" t="s">
        <v>110</v>
      </c>
      <c r="E4" s="156"/>
      <c r="F4" s="156"/>
      <c r="G4" s="156"/>
      <c r="H4" s="156"/>
      <c r="I4" s="156"/>
      <c r="J4" s="156" t="s">
        <v>73</v>
      </c>
      <c r="K4" s="156"/>
      <c r="L4" s="156"/>
      <c r="M4" s="156"/>
      <c r="O4" s="3">
        <f>J6</f>
        <v>39971.00765</v>
      </c>
      <c r="P4" s="3">
        <f>K6</f>
        <v>37364.578999999998</v>
      </c>
      <c r="Q4" s="3">
        <f>L6</f>
        <v>37154.078999999998</v>
      </c>
    </row>
    <row r="5" spans="1:20" ht="39" customHeight="1">
      <c r="A5" s="156"/>
      <c r="B5" s="156"/>
      <c r="C5" s="156"/>
      <c r="D5" s="52" t="s">
        <v>75</v>
      </c>
      <c r="E5" s="52" t="s">
        <v>76</v>
      </c>
      <c r="F5" s="157" t="s">
        <v>77</v>
      </c>
      <c r="G5" s="158"/>
      <c r="H5" s="159"/>
      <c r="I5" s="52" t="s">
        <v>78</v>
      </c>
      <c r="J5" s="52" t="s">
        <v>79</v>
      </c>
      <c r="K5" s="52" t="s">
        <v>80</v>
      </c>
      <c r="L5" s="52" t="s">
        <v>81</v>
      </c>
      <c r="M5" s="52" t="s">
        <v>26</v>
      </c>
      <c r="O5" s="3">
        <f>O3-O4</f>
        <v>3261996.3923499999</v>
      </c>
      <c r="P5" s="3">
        <f>P3-P4</f>
        <v>3269693.5210000002</v>
      </c>
      <c r="Q5" s="3">
        <f>Q3-Q4</f>
        <v>2858129.7209999999</v>
      </c>
    </row>
    <row r="6" spans="1:20" s="42" customFormat="1" ht="56.25">
      <c r="A6" s="160" t="s">
        <v>147</v>
      </c>
      <c r="B6" s="160" t="s">
        <v>182</v>
      </c>
      <c r="C6" s="53" t="s">
        <v>111</v>
      </c>
      <c r="D6" s="66">
        <v>863</v>
      </c>
      <c r="E6" s="67"/>
      <c r="F6" s="151" t="s">
        <v>112</v>
      </c>
      <c r="G6" s="152"/>
      <c r="H6" s="153"/>
      <c r="I6" s="66" t="s">
        <v>112</v>
      </c>
      <c r="J6" s="146">
        <f>J7*1</f>
        <v>39971.00765</v>
      </c>
      <c r="K6" s="140">
        <f>K7*1</f>
        <v>37364.578999999998</v>
      </c>
      <c r="L6" s="140">
        <f>L7*1</f>
        <v>37154.078999999998</v>
      </c>
      <c r="M6" s="140">
        <f>SUM(J6:L6)</f>
        <v>114489.66565</v>
      </c>
      <c r="T6" s="43"/>
    </row>
    <row r="7" spans="1:20" ht="37.5">
      <c r="A7" s="160"/>
      <c r="B7" s="160"/>
      <c r="C7" s="55" t="s">
        <v>113</v>
      </c>
      <c r="D7" s="52"/>
      <c r="E7" s="52" t="s">
        <v>112</v>
      </c>
      <c r="F7" s="148" t="s">
        <v>112</v>
      </c>
      <c r="G7" s="149"/>
      <c r="H7" s="150"/>
      <c r="I7" s="52" t="s">
        <v>112</v>
      </c>
      <c r="J7" s="141">
        <f>J8+J9+J10</f>
        <v>39971.00765</v>
      </c>
      <c r="K7" s="141">
        <f>K8+K9+K10</f>
        <v>37364.578999999998</v>
      </c>
      <c r="L7" s="141">
        <f>L8+L9+L10</f>
        <v>37154.078999999998</v>
      </c>
      <c r="M7" s="141">
        <f>SUM(J7:L7)</f>
        <v>114489.66565</v>
      </c>
      <c r="O7" s="3">
        <v>2809386.2</v>
      </c>
      <c r="P7" s="3">
        <v>2813055.3</v>
      </c>
      <c r="Q7" s="3">
        <v>2810976</v>
      </c>
    </row>
    <row r="8" spans="1:20" ht="18.75">
      <c r="A8" s="160"/>
      <c r="B8" s="160"/>
      <c r="C8" s="55" t="s">
        <v>123</v>
      </c>
      <c r="D8" s="52">
        <v>863</v>
      </c>
      <c r="E8" s="68" t="s">
        <v>133</v>
      </c>
      <c r="F8" s="148" t="s">
        <v>112</v>
      </c>
      <c r="G8" s="149"/>
      <c r="H8" s="150"/>
      <c r="I8" s="52"/>
      <c r="J8" s="145">
        <f>J13+J27+J28</f>
        <v>7414.6256899999998</v>
      </c>
      <c r="K8" s="141">
        <f>K13*1</f>
        <v>6639.8649999999998</v>
      </c>
      <c r="L8" s="141">
        <f>L13*1</f>
        <v>6639.8649999999998</v>
      </c>
      <c r="M8" s="141">
        <f>M13*1</f>
        <v>20421.355689999997</v>
      </c>
      <c r="O8" s="3"/>
      <c r="P8" s="3"/>
      <c r="Q8" s="3"/>
    </row>
    <row r="9" spans="1:20" ht="18.75">
      <c r="A9" s="160"/>
      <c r="B9" s="160"/>
      <c r="C9" s="55" t="s">
        <v>123</v>
      </c>
      <c r="D9" s="52">
        <v>863</v>
      </c>
      <c r="E9" s="68" t="s">
        <v>95</v>
      </c>
      <c r="F9" s="148" t="s">
        <v>112</v>
      </c>
      <c r="G9" s="149"/>
      <c r="H9" s="150"/>
      <c r="I9" s="52" t="s">
        <v>112</v>
      </c>
      <c r="J9" s="141">
        <f>J14+J15+J18+J19+J23+J24+J25+J26</f>
        <v>28539.448960000002</v>
      </c>
      <c r="K9" s="141">
        <f>K14+K15+K18+K19+K23+K24+K25+K26</f>
        <v>26570.609</v>
      </c>
      <c r="L9" s="141">
        <f>L14+L15+L18+L19+L23+L24+L25+L26</f>
        <v>26360.109</v>
      </c>
      <c r="M9" s="141">
        <f>M14*1</f>
        <v>38973.506999999998</v>
      </c>
      <c r="O9" s="3"/>
      <c r="P9" s="3"/>
      <c r="Q9" s="3"/>
    </row>
    <row r="10" spans="1:20" ht="18.75">
      <c r="A10" s="160"/>
      <c r="B10" s="160"/>
      <c r="C10" s="55" t="s">
        <v>123</v>
      </c>
      <c r="D10" s="52">
        <v>863</v>
      </c>
      <c r="E10" s="68" t="s">
        <v>93</v>
      </c>
      <c r="F10" s="148" t="s">
        <v>112</v>
      </c>
      <c r="G10" s="149"/>
      <c r="H10" s="150"/>
      <c r="I10" s="52" t="s">
        <v>112</v>
      </c>
      <c r="J10" s="141">
        <f>J29+J33</f>
        <v>4016.933</v>
      </c>
      <c r="K10" s="141">
        <f>K29+K33</f>
        <v>4154.1049999999996</v>
      </c>
      <c r="L10" s="141">
        <f>L29+L33</f>
        <v>4154.1049999999996</v>
      </c>
      <c r="M10" s="141">
        <f>J10+K10+L10</f>
        <v>12325.143</v>
      </c>
      <c r="O10" s="3">
        <f>J10-[13]ПП3!J85-[13]ПП3!J98-[13]ПП3!J99</f>
        <v>-6006.9670000000006</v>
      </c>
      <c r="P10" s="3">
        <f>K10-[13]ПП3!K85-[13]ПП3!K98-[13]ПП3!K99</f>
        <v>-5911.8950000000004</v>
      </c>
      <c r="Q10" s="3">
        <f>L10-[13]ПП3!L85-[13]ПП3!L98-[13]ПП3!L99</f>
        <v>-5911.8950000000004</v>
      </c>
    </row>
    <row r="11" spans="1:20" s="42" customFormat="1" ht="56.25">
      <c r="A11" s="160" t="s">
        <v>114</v>
      </c>
      <c r="B11" s="166" t="s">
        <v>148</v>
      </c>
      <c r="C11" s="53" t="s">
        <v>115</v>
      </c>
      <c r="D11" s="66">
        <v>863</v>
      </c>
      <c r="E11" s="66" t="s">
        <v>112</v>
      </c>
      <c r="F11" s="151" t="s">
        <v>112</v>
      </c>
      <c r="G11" s="152"/>
      <c r="H11" s="153"/>
      <c r="I11" s="66" t="s">
        <v>112</v>
      </c>
      <c r="J11" s="140">
        <f>J12*1</f>
        <v>20783.19469</v>
      </c>
      <c r="K11" s="140">
        <f>K12*1</f>
        <v>19352.809000000001</v>
      </c>
      <c r="L11" s="140">
        <f>L12*1</f>
        <v>19352.809000000001</v>
      </c>
      <c r="M11" s="140">
        <f>SUM(J11:L11)</f>
        <v>59488.812689999999</v>
      </c>
    </row>
    <row r="12" spans="1:20" s="42" customFormat="1" ht="37.5">
      <c r="A12" s="160"/>
      <c r="B12" s="166"/>
      <c r="C12" s="53" t="s">
        <v>113</v>
      </c>
      <c r="D12" s="66">
        <v>863</v>
      </c>
      <c r="E12" s="66" t="s">
        <v>112</v>
      </c>
      <c r="F12" s="151" t="s">
        <v>112</v>
      </c>
      <c r="G12" s="152"/>
      <c r="H12" s="153"/>
      <c r="I12" s="66" t="s">
        <v>112</v>
      </c>
      <c r="J12" s="140">
        <f>J13+J14+J15</f>
        <v>20783.19469</v>
      </c>
      <c r="K12" s="140">
        <f>K13+K14+K15</f>
        <v>19352.809000000001</v>
      </c>
      <c r="L12" s="140">
        <f>L13+L14+L15</f>
        <v>19352.809000000001</v>
      </c>
      <c r="M12" s="140">
        <f>M11</f>
        <v>59488.812689999999</v>
      </c>
    </row>
    <row r="13" spans="1:20" ht="31.5" customHeight="1">
      <c r="A13" s="160"/>
      <c r="B13" s="166"/>
      <c r="C13" s="55" t="s">
        <v>123</v>
      </c>
      <c r="D13" s="52">
        <v>863</v>
      </c>
      <c r="E13" s="68" t="s">
        <v>133</v>
      </c>
      <c r="F13" s="148" t="s">
        <v>184</v>
      </c>
      <c r="G13" s="149"/>
      <c r="H13" s="150"/>
      <c r="I13" s="52">
        <v>611</v>
      </c>
      <c r="J13" s="141">
        <v>7141.6256899999998</v>
      </c>
      <c r="K13" s="141">
        <v>6639.8649999999998</v>
      </c>
      <c r="L13" s="141">
        <v>6639.8649999999998</v>
      </c>
      <c r="M13" s="141">
        <f>SUM(J13:L13)</f>
        <v>20421.355689999997</v>
      </c>
      <c r="N13" s="2" t="s">
        <v>190</v>
      </c>
    </row>
    <row r="14" spans="1:20" ht="31.5" customHeight="1">
      <c r="A14" s="160"/>
      <c r="B14" s="166"/>
      <c r="C14" s="55" t="s">
        <v>123</v>
      </c>
      <c r="D14" s="52">
        <v>863</v>
      </c>
      <c r="E14" s="68" t="s">
        <v>95</v>
      </c>
      <c r="F14" s="148" t="s">
        <v>184</v>
      </c>
      <c r="G14" s="149"/>
      <c r="H14" s="150"/>
      <c r="I14" s="52">
        <v>611</v>
      </c>
      <c r="J14" s="141">
        <v>13592.119000000001</v>
      </c>
      <c r="K14" s="141">
        <v>12690.694</v>
      </c>
      <c r="L14" s="141">
        <v>12690.694</v>
      </c>
      <c r="M14" s="141">
        <f>SUM(J14:L14)</f>
        <v>38973.506999999998</v>
      </c>
      <c r="N14" s="2" t="s">
        <v>188</v>
      </c>
    </row>
    <row r="15" spans="1:20" ht="18.75">
      <c r="A15" s="160"/>
      <c r="B15" s="166"/>
      <c r="C15" s="55" t="s">
        <v>123</v>
      </c>
      <c r="D15" s="52">
        <v>863</v>
      </c>
      <c r="E15" s="68" t="s">
        <v>95</v>
      </c>
      <c r="F15" s="148" t="s">
        <v>184</v>
      </c>
      <c r="G15" s="149"/>
      <c r="H15" s="150"/>
      <c r="I15" s="52">
        <v>612</v>
      </c>
      <c r="J15" s="143">
        <v>49.45</v>
      </c>
      <c r="K15" s="143">
        <v>22.25</v>
      </c>
      <c r="L15" s="143">
        <v>22.25</v>
      </c>
      <c r="M15" s="141">
        <f>SUM(J15:L15)</f>
        <v>93.95</v>
      </c>
      <c r="N15" s="2" t="s">
        <v>185</v>
      </c>
    </row>
    <row r="16" spans="1:20" s="42" customFormat="1" ht="55.5" customHeight="1">
      <c r="A16" s="162" t="s">
        <v>116</v>
      </c>
      <c r="B16" s="162" t="s">
        <v>149</v>
      </c>
      <c r="C16" s="53" t="s">
        <v>115</v>
      </c>
      <c r="D16" s="67" t="s">
        <v>124</v>
      </c>
      <c r="E16" s="66" t="s">
        <v>112</v>
      </c>
      <c r="F16" s="151" t="s">
        <v>112</v>
      </c>
      <c r="G16" s="152"/>
      <c r="H16" s="153"/>
      <c r="I16" s="66" t="s">
        <v>112</v>
      </c>
      <c r="J16" s="140">
        <f>J18+J19+J20</f>
        <v>14653.75496</v>
      </c>
      <c r="K16" s="140">
        <f>K18+K19+K20</f>
        <v>13647.035</v>
      </c>
      <c r="L16" s="140">
        <f>L18+L19+L20</f>
        <v>13647.035</v>
      </c>
      <c r="M16" s="140">
        <f>M18+M19+M20</f>
        <v>41947.824960000005</v>
      </c>
    </row>
    <row r="17" spans="1:14" s="42" customFormat="1" ht="37.5">
      <c r="A17" s="163"/>
      <c r="B17" s="163"/>
      <c r="C17" s="53" t="s">
        <v>113</v>
      </c>
      <c r="D17" s="67" t="s">
        <v>124</v>
      </c>
      <c r="E17" s="66" t="s">
        <v>112</v>
      </c>
      <c r="F17" s="151" t="s">
        <v>112</v>
      </c>
      <c r="G17" s="152"/>
      <c r="H17" s="153"/>
      <c r="I17" s="66" t="s">
        <v>112</v>
      </c>
      <c r="J17" s="140">
        <f>J18+J19</f>
        <v>14653.75496</v>
      </c>
      <c r="K17" s="140">
        <f>K18+K19</f>
        <v>13647.035</v>
      </c>
      <c r="L17" s="140">
        <f>L18+L19</f>
        <v>13647.035</v>
      </c>
      <c r="M17" s="140">
        <f>M16</f>
        <v>41947.824960000005</v>
      </c>
    </row>
    <row r="18" spans="1:14" ht="31.5" customHeight="1">
      <c r="A18" s="163"/>
      <c r="B18" s="163"/>
      <c r="C18" s="55" t="s">
        <v>123</v>
      </c>
      <c r="D18" s="69" t="s">
        <v>124</v>
      </c>
      <c r="E18" s="68" t="s">
        <v>95</v>
      </c>
      <c r="F18" s="148" t="s">
        <v>187</v>
      </c>
      <c r="G18" s="149"/>
      <c r="H18" s="150"/>
      <c r="I18" s="52">
        <v>611</v>
      </c>
      <c r="J18" s="141">
        <v>13882.17496</v>
      </c>
      <c r="K18" s="141">
        <v>12911.629000000001</v>
      </c>
      <c r="L18" s="141">
        <v>12911.629000000001</v>
      </c>
      <c r="M18" s="141">
        <f>SUM(J18:L18)</f>
        <v>39705.432960000006</v>
      </c>
      <c r="N18" s="2" t="s">
        <v>189</v>
      </c>
    </row>
    <row r="19" spans="1:14" ht="18.75">
      <c r="A19" s="163"/>
      <c r="B19" s="163"/>
      <c r="C19" s="55" t="s">
        <v>123</v>
      </c>
      <c r="D19" s="68" t="s">
        <v>124</v>
      </c>
      <c r="E19" s="68" t="s">
        <v>95</v>
      </c>
      <c r="F19" s="148" t="s">
        <v>187</v>
      </c>
      <c r="G19" s="149"/>
      <c r="H19" s="150"/>
      <c r="I19" s="52">
        <v>611</v>
      </c>
      <c r="J19" s="141">
        <v>771.58</v>
      </c>
      <c r="K19" s="141">
        <v>735.40599999999995</v>
      </c>
      <c r="L19" s="141">
        <v>735.40599999999995</v>
      </c>
      <c r="M19" s="141">
        <f>SUM(J19:L19)</f>
        <v>2242.3919999999998</v>
      </c>
      <c r="N19" s="2" t="s">
        <v>186</v>
      </c>
    </row>
    <row r="20" spans="1:14" ht="18.75" hidden="1">
      <c r="A20" s="163"/>
      <c r="B20" s="163"/>
      <c r="C20" s="55"/>
      <c r="D20" s="68"/>
      <c r="E20" s="68"/>
      <c r="F20" s="148"/>
      <c r="G20" s="149"/>
      <c r="H20" s="150"/>
      <c r="I20" s="52"/>
      <c r="J20" s="141"/>
      <c r="K20" s="141"/>
      <c r="L20" s="141"/>
      <c r="M20" s="141"/>
    </row>
    <row r="21" spans="1:14" ht="56.25">
      <c r="A21" s="166" t="s">
        <v>117</v>
      </c>
      <c r="B21" s="167" t="s">
        <v>161</v>
      </c>
      <c r="C21" s="55" t="s">
        <v>115</v>
      </c>
      <c r="D21" s="67" t="s">
        <v>124</v>
      </c>
      <c r="E21" s="66" t="s">
        <v>112</v>
      </c>
      <c r="F21" s="151" t="s">
        <v>112</v>
      </c>
      <c r="G21" s="152"/>
      <c r="H21" s="153"/>
      <c r="I21" s="66" t="s">
        <v>112</v>
      </c>
      <c r="J21" s="140">
        <f>J22</f>
        <v>4534.058</v>
      </c>
      <c r="K21" s="140">
        <f>K22</f>
        <v>4364.7350000000006</v>
      </c>
      <c r="L21" s="140">
        <f>L22</f>
        <v>4154.2350000000006</v>
      </c>
      <c r="M21" s="140">
        <f>M22</f>
        <v>13053.028000000002</v>
      </c>
    </row>
    <row r="22" spans="1:14" ht="37.5">
      <c r="A22" s="166"/>
      <c r="B22" s="167"/>
      <c r="C22" s="55" t="s">
        <v>113</v>
      </c>
      <c r="D22" s="67" t="s">
        <v>124</v>
      </c>
      <c r="E22" s="66" t="s">
        <v>112</v>
      </c>
      <c r="F22" s="151" t="s">
        <v>112</v>
      </c>
      <c r="G22" s="152"/>
      <c r="H22" s="153"/>
      <c r="I22" s="66" t="s">
        <v>112</v>
      </c>
      <c r="J22" s="144">
        <f>J23+J24+J25+J26+J27+J28+J29+J33</f>
        <v>4534.058</v>
      </c>
      <c r="K22" s="140">
        <f>K23+K24+K25+K26+K29+K33</f>
        <v>4364.7350000000006</v>
      </c>
      <c r="L22" s="140">
        <f>L23+L24+L25+L26+L29+L33</f>
        <v>4154.2350000000006</v>
      </c>
      <c r="M22" s="140">
        <f>SUM(J22:L22)</f>
        <v>13053.028000000002</v>
      </c>
    </row>
    <row r="23" spans="1:14" ht="18.75">
      <c r="A23" s="166"/>
      <c r="B23" s="167"/>
      <c r="C23" s="55" t="s">
        <v>123</v>
      </c>
      <c r="D23" s="68" t="s">
        <v>124</v>
      </c>
      <c r="E23" s="68" t="s">
        <v>95</v>
      </c>
      <c r="F23" s="148" t="s">
        <v>191</v>
      </c>
      <c r="G23" s="149"/>
      <c r="H23" s="150"/>
      <c r="I23" s="52">
        <v>612</v>
      </c>
      <c r="J23" s="141">
        <v>115.3</v>
      </c>
      <c r="K23" s="141">
        <v>168.4</v>
      </c>
      <c r="L23" s="141">
        <v>0</v>
      </c>
      <c r="M23" s="141">
        <f t="shared" ref="M23:M36" si="0">SUM(J23:L23)</f>
        <v>283.7</v>
      </c>
    </row>
    <row r="24" spans="1:14" ht="18.75">
      <c r="A24" s="166"/>
      <c r="B24" s="167"/>
      <c r="C24" s="55" t="s">
        <v>123</v>
      </c>
      <c r="D24" s="68" t="s">
        <v>124</v>
      </c>
      <c r="E24" s="68" t="s">
        <v>95</v>
      </c>
      <c r="F24" s="148" t="s">
        <v>192</v>
      </c>
      <c r="G24" s="149"/>
      <c r="H24" s="150"/>
      <c r="I24" s="52">
        <v>612</v>
      </c>
      <c r="J24" s="141">
        <v>28.824999999999999</v>
      </c>
      <c r="K24" s="141">
        <v>42.23</v>
      </c>
      <c r="L24" s="141">
        <v>0.13</v>
      </c>
      <c r="M24" s="141">
        <f t="shared" si="0"/>
        <v>71.184999999999988</v>
      </c>
    </row>
    <row r="25" spans="1:14" ht="18.75">
      <c r="A25" s="166"/>
      <c r="B25" s="167"/>
      <c r="C25" s="55" t="s">
        <v>123</v>
      </c>
      <c r="D25" s="68" t="s">
        <v>124</v>
      </c>
      <c r="E25" s="68" t="s">
        <v>95</v>
      </c>
      <c r="F25" s="148" t="s">
        <v>193</v>
      </c>
      <c r="G25" s="149"/>
      <c r="H25" s="150"/>
      <c r="I25" s="52">
        <v>612</v>
      </c>
      <c r="J25" s="141">
        <v>80</v>
      </c>
      <c r="K25" s="141">
        <v>0</v>
      </c>
      <c r="L25" s="141">
        <v>0</v>
      </c>
      <c r="M25" s="141">
        <f>SUM(J25:L25)</f>
        <v>80</v>
      </c>
    </row>
    <row r="26" spans="1:14" ht="18.75">
      <c r="A26" s="166"/>
      <c r="B26" s="167"/>
      <c r="C26" s="55" t="s">
        <v>123</v>
      </c>
      <c r="D26" s="68" t="s">
        <v>124</v>
      </c>
      <c r="E26" s="68" t="s">
        <v>95</v>
      </c>
      <c r="F26" s="148" t="s">
        <v>194</v>
      </c>
      <c r="G26" s="149"/>
      <c r="H26" s="150"/>
      <c r="I26" s="52">
        <v>612</v>
      </c>
      <c r="J26" s="141">
        <v>20</v>
      </c>
      <c r="K26" s="141">
        <v>0</v>
      </c>
      <c r="L26" s="141">
        <v>0</v>
      </c>
      <c r="M26" s="141">
        <f>SUM(J26:L26)</f>
        <v>20</v>
      </c>
    </row>
    <row r="27" spans="1:14" ht="18.75">
      <c r="A27" s="166"/>
      <c r="B27" s="167"/>
      <c r="C27" s="55" t="s">
        <v>123</v>
      </c>
      <c r="D27" s="68" t="s">
        <v>124</v>
      </c>
      <c r="E27" s="68" t="s">
        <v>133</v>
      </c>
      <c r="F27" s="148" t="s">
        <v>236</v>
      </c>
      <c r="G27" s="149"/>
      <c r="H27" s="150"/>
      <c r="I27" s="52">
        <v>612</v>
      </c>
      <c r="J27" s="141" t="s">
        <v>235</v>
      </c>
      <c r="K27" s="141"/>
      <c r="L27" s="141"/>
      <c r="M27" s="141">
        <f>SUM(J27:L27)</f>
        <v>0</v>
      </c>
    </row>
    <row r="28" spans="1:14" ht="18.75">
      <c r="A28" s="166"/>
      <c r="B28" s="167"/>
      <c r="C28" s="55" t="s">
        <v>123</v>
      </c>
      <c r="D28" s="68" t="s">
        <v>124</v>
      </c>
      <c r="E28" s="68" t="s">
        <v>133</v>
      </c>
      <c r="F28" s="148" t="s">
        <v>184</v>
      </c>
      <c r="G28" s="149"/>
      <c r="H28" s="150"/>
      <c r="I28" s="52">
        <v>611</v>
      </c>
      <c r="J28" s="141" t="s">
        <v>237</v>
      </c>
      <c r="K28" s="141"/>
      <c r="L28" s="141"/>
      <c r="M28" s="141">
        <f>SUM(J28:L28)</f>
        <v>0</v>
      </c>
    </row>
    <row r="29" spans="1:14" s="42" customFormat="1" ht="18.75">
      <c r="A29" s="166"/>
      <c r="B29" s="167"/>
      <c r="C29" s="53" t="s">
        <v>123</v>
      </c>
      <c r="D29" s="67" t="s">
        <v>124</v>
      </c>
      <c r="E29" s="67" t="s">
        <v>93</v>
      </c>
      <c r="F29" s="151" t="s">
        <v>195</v>
      </c>
      <c r="G29" s="152"/>
      <c r="H29" s="153"/>
      <c r="I29" s="66">
        <v>120</v>
      </c>
      <c r="J29" s="140">
        <f>J30+J31+J32</f>
        <v>1542.7999999999997</v>
      </c>
      <c r="K29" s="140">
        <f>K30+K31+K32</f>
        <v>1594.556</v>
      </c>
      <c r="L29" s="140">
        <f>L30+L31+L32</f>
        <v>1594.556</v>
      </c>
      <c r="M29" s="140">
        <f t="shared" si="0"/>
        <v>4731.9120000000003</v>
      </c>
    </row>
    <row r="30" spans="1:14" ht="18.75">
      <c r="A30" s="166"/>
      <c r="B30" s="167"/>
      <c r="C30" s="55" t="s">
        <v>123</v>
      </c>
      <c r="D30" s="68" t="s">
        <v>124</v>
      </c>
      <c r="E30" s="68" t="s">
        <v>93</v>
      </c>
      <c r="F30" s="148" t="s">
        <v>195</v>
      </c>
      <c r="G30" s="149"/>
      <c r="H30" s="150"/>
      <c r="I30" s="52">
        <v>121</v>
      </c>
      <c r="J30" s="142">
        <v>1397.3</v>
      </c>
      <c r="K30" s="141">
        <v>1449.1559999999999</v>
      </c>
      <c r="L30" s="141">
        <v>1449.1559999999999</v>
      </c>
      <c r="M30" s="141">
        <f t="shared" si="0"/>
        <v>4295.6120000000001</v>
      </c>
    </row>
    <row r="31" spans="1:14" ht="18.75">
      <c r="A31" s="166"/>
      <c r="B31" s="167"/>
      <c r="C31" s="55" t="s">
        <v>123</v>
      </c>
      <c r="D31" s="68" t="s">
        <v>124</v>
      </c>
      <c r="E31" s="68" t="s">
        <v>93</v>
      </c>
      <c r="F31" s="148" t="s">
        <v>195</v>
      </c>
      <c r="G31" s="149"/>
      <c r="H31" s="150"/>
      <c r="I31" s="52">
        <v>122</v>
      </c>
      <c r="J31" s="142">
        <v>28.6816</v>
      </c>
      <c r="K31" s="141">
        <v>44</v>
      </c>
      <c r="L31" s="141">
        <v>44</v>
      </c>
      <c r="M31" s="141">
        <f t="shared" si="0"/>
        <v>116.6816</v>
      </c>
    </row>
    <row r="32" spans="1:14" ht="18.75">
      <c r="A32" s="166"/>
      <c r="B32" s="167"/>
      <c r="C32" s="55" t="s">
        <v>123</v>
      </c>
      <c r="D32" s="68" t="s">
        <v>124</v>
      </c>
      <c r="E32" s="68" t="s">
        <v>93</v>
      </c>
      <c r="F32" s="148" t="s">
        <v>195</v>
      </c>
      <c r="G32" s="149"/>
      <c r="H32" s="150"/>
      <c r="I32" s="52">
        <v>244</v>
      </c>
      <c r="J32" s="142">
        <v>116.8184</v>
      </c>
      <c r="K32" s="141">
        <v>101.4</v>
      </c>
      <c r="L32" s="117">
        <v>101.4</v>
      </c>
      <c r="M32" s="141"/>
    </row>
    <row r="33" spans="1:13" s="42" customFormat="1" ht="21" customHeight="1">
      <c r="A33" s="166"/>
      <c r="B33" s="167"/>
      <c r="C33" s="53" t="s">
        <v>123</v>
      </c>
      <c r="D33" s="67" t="s">
        <v>124</v>
      </c>
      <c r="E33" s="67" t="s">
        <v>93</v>
      </c>
      <c r="F33" s="151" t="s">
        <v>196</v>
      </c>
      <c r="G33" s="152"/>
      <c r="H33" s="153"/>
      <c r="I33" s="66">
        <v>110</v>
      </c>
      <c r="J33" s="140">
        <f>J34+J35+J36</f>
        <v>2474.1330000000003</v>
      </c>
      <c r="K33" s="140">
        <f>K34+K35+K36</f>
        <v>2559.549</v>
      </c>
      <c r="L33" s="140">
        <f>L34+L35+L36</f>
        <v>2559.549</v>
      </c>
      <c r="M33" s="140">
        <f>M34+M35+M36</f>
        <v>7593.2309999999989</v>
      </c>
    </row>
    <row r="34" spans="1:13" ht="18.75">
      <c r="A34" s="166"/>
      <c r="B34" s="167"/>
      <c r="C34" s="55" t="s">
        <v>123</v>
      </c>
      <c r="D34" s="68" t="s">
        <v>124</v>
      </c>
      <c r="E34" s="68" t="s">
        <v>93</v>
      </c>
      <c r="F34" s="148" t="s">
        <v>196</v>
      </c>
      <c r="G34" s="149"/>
      <c r="H34" s="150"/>
      <c r="I34" s="52">
        <v>111</v>
      </c>
      <c r="J34" s="141">
        <v>2306.2330000000002</v>
      </c>
      <c r="K34" s="141">
        <v>2391.6489999999999</v>
      </c>
      <c r="L34" s="141">
        <v>2391.6489999999999</v>
      </c>
      <c r="M34" s="117">
        <f t="shared" si="0"/>
        <v>7089.530999999999</v>
      </c>
    </row>
    <row r="35" spans="1:13" ht="18.75">
      <c r="A35" s="166"/>
      <c r="B35" s="167"/>
      <c r="C35" s="55" t="s">
        <v>123</v>
      </c>
      <c r="D35" s="68" t="s">
        <v>124</v>
      </c>
      <c r="E35" s="68" t="s">
        <v>93</v>
      </c>
      <c r="F35" s="148" t="s">
        <v>196</v>
      </c>
      <c r="G35" s="149"/>
      <c r="H35" s="150"/>
      <c r="I35" s="52">
        <v>112</v>
      </c>
      <c r="J35" s="142">
        <v>4</v>
      </c>
      <c r="K35" s="141">
        <v>7.1</v>
      </c>
      <c r="L35" s="141">
        <v>7.1</v>
      </c>
      <c r="M35" s="117">
        <f t="shared" si="0"/>
        <v>18.2</v>
      </c>
    </row>
    <row r="36" spans="1:13" ht="15.75" customHeight="1">
      <c r="A36" s="166"/>
      <c r="B36" s="167"/>
      <c r="C36" s="55" t="s">
        <v>123</v>
      </c>
      <c r="D36" s="68" t="s">
        <v>124</v>
      </c>
      <c r="E36" s="68" t="s">
        <v>93</v>
      </c>
      <c r="F36" s="148" t="s">
        <v>196</v>
      </c>
      <c r="G36" s="149"/>
      <c r="H36" s="150"/>
      <c r="I36" s="52">
        <v>244</v>
      </c>
      <c r="J36" s="142">
        <v>163.9</v>
      </c>
      <c r="K36" s="141">
        <v>160.80000000000001</v>
      </c>
      <c r="L36" s="117">
        <v>160.80000000000001</v>
      </c>
      <c r="M36" s="117">
        <f t="shared" si="0"/>
        <v>485.50000000000006</v>
      </c>
    </row>
    <row r="37" spans="1:13" ht="15.75" customHeight="1">
      <c r="A37" s="71"/>
      <c r="B37" s="72"/>
      <c r="C37" s="59"/>
      <c r="D37" s="73"/>
      <c r="E37" s="73"/>
      <c r="F37" s="73"/>
      <c r="G37" s="73"/>
      <c r="H37" s="73"/>
      <c r="I37" s="74"/>
      <c r="J37" s="60"/>
      <c r="K37" s="60"/>
      <c r="L37" s="75"/>
      <c r="M37" s="75"/>
    </row>
    <row r="38" spans="1:13" ht="15.75" customHeight="1">
      <c r="A38" s="71"/>
      <c r="B38" s="72"/>
      <c r="C38" s="59"/>
      <c r="D38" s="73"/>
      <c r="E38" s="73"/>
      <c r="F38" s="73"/>
      <c r="G38" s="73"/>
      <c r="H38" s="73"/>
      <c r="I38" s="74"/>
      <c r="J38" s="60"/>
      <c r="K38" s="60"/>
      <c r="L38" s="75"/>
      <c r="M38" s="75"/>
    </row>
    <row r="39" spans="1:13" s="4" customFormat="1" ht="27" customHeight="1">
      <c r="A39" s="164"/>
      <c r="B39" s="164"/>
      <c r="C39" s="164"/>
      <c r="D39" s="164"/>
      <c r="F39" s="76"/>
      <c r="G39" s="76"/>
      <c r="H39" s="76"/>
      <c r="L39" s="165"/>
      <c r="M39" s="165"/>
    </row>
    <row r="40" spans="1:13" s="6" customFormat="1" ht="15.75" hidden="1" customHeight="1">
      <c r="A40" s="161" t="s">
        <v>25</v>
      </c>
      <c r="B40" s="161"/>
      <c r="C40" s="161"/>
      <c r="D40" s="161"/>
      <c r="E40" s="77"/>
      <c r="F40" s="4"/>
      <c r="G40" s="4"/>
      <c r="H40" s="4"/>
      <c r="I40" s="77"/>
      <c r="J40" s="25"/>
      <c r="K40" s="25"/>
      <c r="L40" s="26"/>
      <c r="M40" s="26" t="s">
        <v>24</v>
      </c>
    </row>
    <row r="41" spans="1:13" ht="18.75" hidden="1">
      <c r="A41" s="51"/>
      <c r="B41" s="51"/>
      <c r="C41" s="51"/>
      <c r="D41" s="51"/>
      <c r="E41" s="51"/>
      <c r="F41" s="77"/>
      <c r="G41" s="77"/>
      <c r="H41" s="77"/>
      <c r="I41" s="51"/>
      <c r="J41" s="51"/>
      <c r="K41" s="51"/>
      <c r="L41" s="51"/>
      <c r="M41" s="51"/>
    </row>
    <row r="42" spans="1:13" ht="18.75" hidden="1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</row>
    <row r="43" spans="1:13" ht="18.75" hidden="1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spans="1:13" ht="18.7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</row>
    <row r="45" spans="1:13" ht="18.7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</row>
    <row r="46" spans="1:13" ht="18.7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</row>
    <row r="47" spans="1:13" ht="18.7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</row>
    <row r="48" spans="1:13" ht="18.7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</row>
    <row r="49" spans="1:13" ht="18.7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</row>
    <row r="50" spans="1:13" ht="18.7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</row>
    <row r="51" spans="1:13" ht="18.7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</row>
    <row r="52" spans="1:13" ht="18.7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</row>
    <row r="53" spans="1:13" ht="18.7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</row>
    <row r="54" spans="1:13" ht="18.7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</row>
    <row r="55" spans="1:13" ht="18.7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</row>
    <row r="56" spans="1:13" ht="18.7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</row>
    <row r="57" spans="1:13" ht="18.7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</row>
    <row r="58" spans="1:13" ht="18.7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</row>
    <row r="59" spans="1:13" ht="18.7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</row>
    <row r="60" spans="1:13" ht="18.7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</row>
    <row r="61" spans="1:13" ht="18.7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</row>
    <row r="62" spans="1:13" ht="18.7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</row>
    <row r="63" spans="1:13" ht="18.7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</row>
    <row r="64" spans="1:13" ht="18.7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</row>
    <row r="65" spans="1:13" ht="18.7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</row>
    <row r="66" spans="1:13" ht="18.7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</row>
    <row r="67" spans="1:13" ht="18.7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</row>
    <row r="68" spans="1:13" ht="18.7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</row>
    <row r="69" spans="1:13" ht="18.7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</row>
    <row r="70" spans="1:13" ht="18.7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</row>
    <row r="71" spans="1:13" ht="18.7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</row>
    <row r="72" spans="1:13" ht="18.7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</row>
    <row r="73" spans="1:13" ht="18.7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</row>
    <row r="74" spans="1:13" ht="18.7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</row>
    <row r="75" spans="1:13" ht="18.7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</row>
    <row r="76" spans="1:13" ht="18.7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</row>
    <row r="77" spans="1:13" ht="18.7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</row>
    <row r="78" spans="1:13" ht="18.7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</row>
    <row r="79" spans="1:13" ht="18.7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</row>
    <row r="80" spans="1:13" ht="18.7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</row>
    <row r="81" spans="1:13" ht="18.7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</row>
    <row r="82" spans="1:13" ht="18.7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</row>
    <row r="83" spans="1:13" ht="18.7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</row>
    <row r="84" spans="1:13" ht="18.7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</row>
    <row r="85" spans="1:13" ht="18.7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</row>
    <row r="86" spans="1:13" ht="18.7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</row>
    <row r="87" spans="1:13" ht="18.7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</row>
    <row r="88" spans="1:13" ht="18.7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</row>
    <row r="89" spans="1:13" ht="18.7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</row>
    <row r="90" spans="1:13" ht="18.7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</row>
    <row r="91" spans="1:13" ht="18.7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</row>
    <row r="92" spans="1:13" ht="18.7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</row>
    <row r="93" spans="1:13" ht="18.7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</row>
    <row r="94" spans="1:13" ht="18.7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</row>
    <row r="95" spans="1:13" ht="18.7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</row>
    <row r="96" spans="1:13" ht="18.7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</row>
    <row r="97" spans="1:13" ht="18.7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</row>
    <row r="98" spans="1:13" ht="18.7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</row>
    <row r="99" spans="1:13" ht="18.7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</row>
    <row r="100" spans="1:13" ht="18.7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</row>
    <row r="101" spans="1:13" ht="18.7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</row>
    <row r="102" spans="1:13" ht="18.7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</row>
    <row r="103" spans="1:13" ht="18.7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</row>
    <row r="104" spans="1:13" ht="18.7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</row>
    <row r="105" spans="1:13" ht="18.7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</row>
    <row r="106" spans="1:13" ht="18.7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</row>
    <row r="107" spans="1:13" ht="18.7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</row>
    <row r="108" spans="1:13" ht="18.7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</row>
    <row r="109" spans="1:13" ht="18.7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</row>
  </sheetData>
  <mergeCells count="50">
    <mergeCell ref="F33:H33"/>
    <mergeCell ref="F34:H34"/>
    <mergeCell ref="F23:H23"/>
    <mergeCell ref="A21:A36"/>
    <mergeCell ref="B21:B36"/>
    <mergeCell ref="F31:H31"/>
    <mergeCell ref="F26:H26"/>
    <mergeCell ref="F36:H36"/>
    <mergeCell ref="F29:H29"/>
    <mergeCell ref="F30:H30"/>
    <mergeCell ref="F24:H24"/>
    <mergeCell ref="F32:H32"/>
    <mergeCell ref="F17:H17"/>
    <mergeCell ref="F16:H16"/>
    <mergeCell ref="A39:D39"/>
    <mergeCell ref="L39:M39"/>
    <mergeCell ref="A11:A15"/>
    <mergeCell ref="B11:B15"/>
    <mergeCell ref="F11:H11"/>
    <mergeCell ref="F12:H12"/>
    <mergeCell ref="F13:H13"/>
    <mergeCell ref="F14:H14"/>
    <mergeCell ref="A40:D40"/>
    <mergeCell ref="A6:A10"/>
    <mergeCell ref="F27:H27"/>
    <mergeCell ref="F28:H28"/>
    <mergeCell ref="F35:H35"/>
    <mergeCell ref="B16:B20"/>
    <mergeCell ref="F20:H20"/>
    <mergeCell ref="F19:H19"/>
    <mergeCell ref="A16:A20"/>
    <mergeCell ref="F18:H18"/>
    <mergeCell ref="D4:I4"/>
    <mergeCell ref="J4:M4"/>
    <mergeCell ref="F5:H5"/>
    <mergeCell ref="B6:B10"/>
    <mergeCell ref="F6:H6"/>
    <mergeCell ref="F7:H7"/>
    <mergeCell ref="F10:H10"/>
    <mergeCell ref="F8:H8"/>
    <mergeCell ref="F9:H9"/>
    <mergeCell ref="F15:H15"/>
    <mergeCell ref="F25:H25"/>
    <mergeCell ref="F22:H22"/>
    <mergeCell ref="F21:H21"/>
    <mergeCell ref="I1:M1"/>
    <mergeCell ref="A2:M2"/>
    <mergeCell ref="A4:A5"/>
    <mergeCell ref="B4:B5"/>
    <mergeCell ref="C4:C5"/>
  </mergeCells>
  <phoneticPr fontId="0" type="noConversion"/>
  <pageMargins left="0.32" right="0.39370078740157483" top="0.74803149606299213" bottom="0.51181102362204722" header="0.31496062992125984" footer="0.31496062992125984"/>
  <pageSetup paperSize="9" scale="75" fitToHeight="15" orientation="landscape" r:id="rId1"/>
  <colBreaks count="1" manualBreakCount="1">
    <brk id="14" max="4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1"/>
  </sheetPr>
  <dimension ref="B1:M42"/>
  <sheetViews>
    <sheetView view="pageBreakPreview" topLeftCell="A28" zoomScaleNormal="75" workbookViewId="0">
      <selection activeCell="B3" sqref="B3:H3"/>
    </sheetView>
  </sheetViews>
  <sheetFormatPr defaultRowHeight="12.75"/>
  <cols>
    <col min="1" max="1" width="18.42578125" style="7" customWidth="1"/>
    <col min="2" max="2" width="29.7109375" style="7" customWidth="1"/>
    <col min="3" max="3" width="39.28515625" style="7" customWidth="1"/>
    <col min="4" max="4" width="33" style="7" customWidth="1"/>
    <col min="5" max="5" width="38.5703125" style="7" customWidth="1"/>
    <col min="6" max="6" width="24.5703125" style="7" customWidth="1"/>
    <col min="7" max="7" width="21.5703125" style="7" customWidth="1"/>
    <col min="8" max="8" width="30.28515625" style="7" customWidth="1"/>
    <col min="9" max="11" width="13.7109375" style="7" hidden="1" customWidth="1"/>
    <col min="12" max="12" width="0" style="7" hidden="1" customWidth="1"/>
    <col min="13" max="13" width="12.140625" style="7" bestFit="1" customWidth="1"/>
    <col min="14" max="16384" width="9.140625" style="7"/>
  </cols>
  <sheetData>
    <row r="1" spans="2:13" ht="129" customHeight="1">
      <c r="B1" s="51"/>
      <c r="C1" s="51"/>
      <c r="D1" s="51"/>
      <c r="E1" s="51"/>
      <c r="F1" s="154" t="s">
        <v>240</v>
      </c>
      <c r="G1" s="154"/>
      <c r="H1" s="154"/>
    </row>
    <row r="2" spans="2:13" ht="54" customHeight="1">
      <c r="B2" s="51"/>
      <c r="C2" s="51"/>
      <c r="D2" s="51"/>
      <c r="E2" s="49"/>
      <c r="F2" s="49"/>
      <c r="G2" s="49"/>
      <c r="H2" s="49"/>
    </row>
    <row r="3" spans="2:13" ht="60.75" customHeight="1">
      <c r="B3" s="155" t="s">
        <v>219</v>
      </c>
      <c r="C3" s="155"/>
      <c r="D3" s="155"/>
      <c r="E3" s="155"/>
      <c r="F3" s="155"/>
      <c r="G3" s="155"/>
      <c r="H3" s="155"/>
    </row>
    <row r="4" spans="2:13" ht="18.75">
      <c r="B4" s="51"/>
      <c r="C4" s="51"/>
      <c r="D4" s="51"/>
      <c r="E4" s="51"/>
      <c r="F4" s="51"/>
      <c r="G4" s="51"/>
      <c r="H4" s="51"/>
    </row>
    <row r="5" spans="2:13" ht="24.75" customHeight="1">
      <c r="B5" s="156" t="s">
        <v>29</v>
      </c>
      <c r="C5" s="156" t="s">
        <v>159</v>
      </c>
      <c r="D5" s="170" t="s">
        <v>68</v>
      </c>
      <c r="E5" s="156" t="s">
        <v>28</v>
      </c>
      <c r="F5" s="156"/>
      <c r="G5" s="156"/>
      <c r="H5" s="156"/>
    </row>
    <row r="6" spans="2:13" ht="108" customHeight="1">
      <c r="B6" s="156"/>
      <c r="C6" s="156"/>
      <c r="D6" s="170"/>
      <c r="E6" s="52" t="s">
        <v>79</v>
      </c>
      <c r="F6" s="52" t="s">
        <v>80</v>
      </c>
      <c r="G6" s="52" t="s">
        <v>81</v>
      </c>
      <c r="H6" s="52" t="s">
        <v>26</v>
      </c>
    </row>
    <row r="7" spans="2:13" s="44" customFormat="1" ht="21" customHeight="1">
      <c r="B7" s="168" t="s">
        <v>147</v>
      </c>
      <c r="C7" s="168" t="s">
        <v>182</v>
      </c>
      <c r="D7" s="53" t="s">
        <v>0</v>
      </c>
      <c r="E7" s="146">
        <f>E9</f>
        <v>39971.007650000007</v>
      </c>
      <c r="F7" s="54">
        <f>F9</f>
        <v>37364.579000000005</v>
      </c>
      <c r="G7" s="54">
        <f>G9</f>
        <v>37154.078999999998</v>
      </c>
      <c r="H7" s="54">
        <f>G7+F7+E7</f>
        <v>114489.66565000001</v>
      </c>
      <c r="M7" s="45"/>
    </row>
    <row r="8" spans="2:13" ht="18.75" customHeight="1">
      <c r="B8" s="168"/>
      <c r="C8" s="168"/>
      <c r="D8" s="55" t="s">
        <v>1</v>
      </c>
      <c r="E8" s="147"/>
      <c r="F8" s="56"/>
      <c r="G8" s="56"/>
      <c r="H8" s="56"/>
    </row>
    <row r="9" spans="2:13" s="44" customFormat="1" ht="18.75" customHeight="1">
      <c r="B9" s="168"/>
      <c r="C9" s="168"/>
      <c r="D9" s="53" t="s">
        <v>123</v>
      </c>
      <c r="E9" s="146">
        <f>E10+E11+E12+E13</f>
        <v>39971.007650000007</v>
      </c>
      <c r="F9" s="54">
        <f>F10+F11+F12+F13</f>
        <v>37364.579000000005</v>
      </c>
      <c r="G9" s="54">
        <f>G10+G11+G12+G13</f>
        <v>37154.078999999998</v>
      </c>
      <c r="H9" s="54">
        <f t="shared" ref="H9:H14" si="0">G9+F9+E9</f>
        <v>114489.66565000001</v>
      </c>
    </row>
    <row r="10" spans="2:13" ht="18.75" customHeight="1">
      <c r="B10" s="168"/>
      <c r="C10" s="168"/>
      <c r="D10" s="55" t="s">
        <v>2</v>
      </c>
      <c r="E10" s="147">
        <f>E31</f>
        <v>264</v>
      </c>
      <c r="F10" s="56">
        <v>0</v>
      </c>
      <c r="G10" s="56">
        <v>0</v>
      </c>
      <c r="H10" s="56">
        <f t="shared" si="0"/>
        <v>264</v>
      </c>
    </row>
    <row r="11" spans="2:13" ht="17.25" customHeight="1">
      <c r="B11" s="168"/>
      <c r="C11" s="168"/>
      <c r="D11" s="55" t="s">
        <v>3</v>
      </c>
      <c r="E11" s="147">
        <f t="shared" ref="E11:F13" si="1">E18+E25+E32</f>
        <v>195.3</v>
      </c>
      <c r="F11" s="56">
        <f t="shared" si="1"/>
        <v>168.4</v>
      </c>
      <c r="G11" s="56"/>
      <c r="H11" s="56">
        <f t="shared" si="0"/>
        <v>363.70000000000005</v>
      </c>
      <c r="I11" s="8" t="e">
        <f>E11+#REF!+#REF!+#REF!+#REF!+#REF!</f>
        <v>#REF!</v>
      </c>
      <c r="J11" s="8" t="e">
        <f>F11+#REF!+#REF!+#REF!+#REF!+#REF!</f>
        <v>#REF!</v>
      </c>
      <c r="K11" s="8" t="e">
        <f>G11+#REF!+#REF!+#REF!+#REF!+#REF!</f>
        <v>#REF!</v>
      </c>
    </row>
    <row r="12" spans="2:13" ht="17.25" customHeight="1">
      <c r="B12" s="168"/>
      <c r="C12" s="168"/>
      <c r="D12" s="55" t="s">
        <v>62</v>
      </c>
      <c r="E12" s="147">
        <f>E19+E26</f>
        <v>890</v>
      </c>
      <c r="F12" s="56">
        <f t="shared" si="1"/>
        <v>707</v>
      </c>
      <c r="G12" s="56">
        <f>G19+G26+G33</f>
        <v>707</v>
      </c>
      <c r="H12" s="56">
        <f t="shared" si="0"/>
        <v>2304</v>
      </c>
      <c r="I12" s="8" t="e">
        <f>I11-'прилож 1 '!J6</f>
        <v>#REF!</v>
      </c>
      <c r="J12" s="8" t="e">
        <f>J11-'прилож 1 '!K6</f>
        <v>#REF!</v>
      </c>
      <c r="K12" s="8" t="e">
        <f>K11-'прилож 1 '!L6</f>
        <v>#REF!</v>
      </c>
    </row>
    <row r="13" spans="2:13" ht="24.75" customHeight="1">
      <c r="B13" s="168"/>
      <c r="C13" s="168"/>
      <c r="D13" s="55" t="s">
        <v>156</v>
      </c>
      <c r="E13" s="147">
        <f>E20+E27+E34</f>
        <v>38621.707650000004</v>
      </c>
      <c r="F13" s="56">
        <f t="shared" si="1"/>
        <v>36489.179000000004</v>
      </c>
      <c r="G13" s="56">
        <f>G20+G27+G34</f>
        <v>36447.078999999998</v>
      </c>
      <c r="H13" s="56">
        <f t="shared" si="0"/>
        <v>111557.96565</v>
      </c>
    </row>
    <row r="14" spans="2:13" s="44" customFormat="1" ht="22.5" customHeight="1">
      <c r="B14" s="168" t="s">
        <v>114</v>
      </c>
      <c r="C14" s="169" t="s">
        <v>119</v>
      </c>
      <c r="D14" s="53" t="s">
        <v>0</v>
      </c>
      <c r="E14" s="146">
        <f>E16+E19</f>
        <v>20783.19469</v>
      </c>
      <c r="F14" s="54">
        <f>F16+F19</f>
        <v>19352.809000000001</v>
      </c>
      <c r="G14" s="54">
        <f>G16+G19</f>
        <v>19352.809000000001</v>
      </c>
      <c r="H14" s="54">
        <f t="shared" si="0"/>
        <v>59488.812690000006</v>
      </c>
    </row>
    <row r="15" spans="2:13" ht="22.5" customHeight="1">
      <c r="B15" s="168"/>
      <c r="C15" s="169"/>
      <c r="D15" s="55" t="s">
        <v>1</v>
      </c>
      <c r="E15" s="147"/>
      <c r="F15" s="56"/>
      <c r="G15" s="56"/>
      <c r="H15" s="56">
        <f t="shared" ref="H15:H20" si="2">G15+F15+E15</f>
        <v>0</v>
      </c>
    </row>
    <row r="16" spans="2:13" ht="19.5" customHeight="1">
      <c r="B16" s="168"/>
      <c r="C16" s="169"/>
      <c r="D16" s="55" t="s">
        <v>123</v>
      </c>
      <c r="E16" s="147">
        <f>E20*1</f>
        <v>20263.19469</v>
      </c>
      <c r="F16" s="56">
        <f>F20*1</f>
        <v>18970.809000000001</v>
      </c>
      <c r="G16" s="56">
        <f>G20*1</f>
        <v>18970.809000000001</v>
      </c>
      <c r="H16" s="56">
        <f t="shared" si="2"/>
        <v>58204.812690000006</v>
      </c>
    </row>
    <row r="17" spans="2:8" ht="23.25" customHeight="1">
      <c r="B17" s="168"/>
      <c r="C17" s="169"/>
      <c r="D17" s="55" t="s">
        <v>2</v>
      </c>
      <c r="E17" s="147">
        <v>0</v>
      </c>
      <c r="F17" s="56">
        <v>0</v>
      </c>
      <c r="G17" s="56">
        <v>0</v>
      </c>
      <c r="H17" s="56">
        <f t="shared" si="2"/>
        <v>0</v>
      </c>
    </row>
    <row r="18" spans="2:8" ht="18.75" customHeight="1">
      <c r="B18" s="168"/>
      <c r="C18" s="169"/>
      <c r="D18" s="55" t="s">
        <v>3</v>
      </c>
      <c r="E18" s="147"/>
      <c r="F18" s="56"/>
      <c r="G18" s="56"/>
      <c r="H18" s="56">
        <f t="shared" si="2"/>
        <v>0</v>
      </c>
    </row>
    <row r="19" spans="2:8" ht="22.5" customHeight="1">
      <c r="B19" s="168"/>
      <c r="C19" s="169"/>
      <c r="D19" s="55" t="s">
        <v>62</v>
      </c>
      <c r="E19" s="147">
        <v>520</v>
      </c>
      <c r="F19" s="56">
        <v>382</v>
      </c>
      <c r="G19" s="56">
        <v>382</v>
      </c>
      <c r="H19" s="56">
        <f t="shared" si="2"/>
        <v>1284</v>
      </c>
    </row>
    <row r="20" spans="2:8" ht="22.5" customHeight="1">
      <c r="B20" s="168"/>
      <c r="C20" s="169"/>
      <c r="D20" s="55" t="s">
        <v>156</v>
      </c>
      <c r="E20" s="147">
        <v>20263.19469</v>
      </c>
      <c r="F20" s="56">
        <v>18970.809000000001</v>
      </c>
      <c r="G20" s="56">
        <v>18970.809000000001</v>
      </c>
      <c r="H20" s="56">
        <f t="shared" si="2"/>
        <v>58204.812690000006</v>
      </c>
    </row>
    <row r="21" spans="2:8" s="44" customFormat="1" ht="17.25" customHeight="1">
      <c r="B21" s="168" t="s">
        <v>116</v>
      </c>
      <c r="C21" s="169" t="s">
        <v>118</v>
      </c>
      <c r="D21" s="53" t="s">
        <v>0</v>
      </c>
      <c r="E21" s="146">
        <f>E23+E26</f>
        <v>14653.75496</v>
      </c>
      <c r="F21" s="54">
        <f>F23+F26</f>
        <v>13647.035</v>
      </c>
      <c r="G21" s="54">
        <f>G23+G26</f>
        <v>13647.035</v>
      </c>
      <c r="H21" s="54">
        <f>G21+F21+E21</f>
        <v>41947.824959999998</v>
      </c>
    </row>
    <row r="22" spans="2:8" ht="23.25" customHeight="1">
      <c r="B22" s="168"/>
      <c r="C22" s="169"/>
      <c r="D22" s="55" t="s">
        <v>1</v>
      </c>
      <c r="E22" s="147"/>
      <c r="F22" s="56"/>
      <c r="G22" s="56"/>
      <c r="H22" s="56">
        <f t="shared" ref="H22:H27" si="3">G22+F22+E22</f>
        <v>0</v>
      </c>
    </row>
    <row r="23" spans="2:8" ht="21" customHeight="1">
      <c r="B23" s="168"/>
      <c r="C23" s="169"/>
      <c r="D23" s="55" t="s">
        <v>123</v>
      </c>
      <c r="E23" s="147">
        <f>E27*1</f>
        <v>14283.75496</v>
      </c>
      <c r="F23" s="56">
        <f>F27*1</f>
        <v>13322.035</v>
      </c>
      <c r="G23" s="56">
        <f>G27*1</f>
        <v>13322.035</v>
      </c>
      <c r="H23" s="56">
        <f t="shared" si="3"/>
        <v>40927.824959999998</v>
      </c>
    </row>
    <row r="24" spans="2:8" ht="22.5" customHeight="1">
      <c r="B24" s="168"/>
      <c r="C24" s="169"/>
      <c r="D24" s="55" t="s">
        <v>2</v>
      </c>
      <c r="E24" s="147"/>
      <c r="F24" s="56"/>
      <c r="G24" s="56"/>
      <c r="H24" s="56">
        <f t="shared" si="3"/>
        <v>0</v>
      </c>
    </row>
    <row r="25" spans="2:8" ht="19.5" customHeight="1">
      <c r="B25" s="168"/>
      <c r="C25" s="169"/>
      <c r="D25" s="55" t="s">
        <v>3</v>
      </c>
      <c r="E25" s="147"/>
      <c r="F25" s="56"/>
      <c r="G25" s="56"/>
      <c r="H25" s="56">
        <f t="shared" si="3"/>
        <v>0</v>
      </c>
    </row>
    <row r="26" spans="2:8" ht="21" customHeight="1">
      <c r="B26" s="168"/>
      <c r="C26" s="169"/>
      <c r="D26" s="55" t="s">
        <v>62</v>
      </c>
      <c r="E26" s="147">
        <v>370</v>
      </c>
      <c r="F26" s="56">
        <v>325</v>
      </c>
      <c r="G26" s="56">
        <v>325</v>
      </c>
      <c r="H26" s="56">
        <f t="shared" si="3"/>
        <v>1020</v>
      </c>
    </row>
    <row r="27" spans="2:8" ht="18.75" customHeight="1">
      <c r="B27" s="168"/>
      <c r="C27" s="169"/>
      <c r="D27" s="55" t="s">
        <v>156</v>
      </c>
      <c r="E27" s="147">
        <v>14283.75496</v>
      </c>
      <c r="F27" s="56">
        <v>13322.035</v>
      </c>
      <c r="G27" s="56">
        <v>13322.035</v>
      </c>
      <c r="H27" s="56">
        <f t="shared" si="3"/>
        <v>40927.824959999998</v>
      </c>
    </row>
    <row r="28" spans="2:8" s="44" customFormat="1" ht="21.75" customHeight="1">
      <c r="B28" s="171" t="s">
        <v>117</v>
      </c>
      <c r="C28" s="174" t="s">
        <v>160</v>
      </c>
      <c r="D28" s="53" t="s">
        <v>0</v>
      </c>
      <c r="E28" s="146">
        <f>E30+E33</f>
        <v>4534.058</v>
      </c>
      <c r="F28" s="54">
        <f>F30+F33</f>
        <v>4364.7349999999997</v>
      </c>
      <c r="G28" s="54">
        <f>G30+G33</f>
        <v>4154.2349999999997</v>
      </c>
      <c r="H28" s="54">
        <f>G28+F28+E28</f>
        <v>13053.027999999998</v>
      </c>
    </row>
    <row r="29" spans="2:8" ht="22.5" customHeight="1">
      <c r="B29" s="172"/>
      <c r="C29" s="175"/>
      <c r="D29" s="55" t="s">
        <v>1</v>
      </c>
      <c r="E29" s="147"/>
      <c r="F29" s="56"/>
      <c r="G29" s="56"/>
      <c r="H29" s="56">
        <f t="shared" ref="H29:H34" si="4">G29+F29+E29</f>
        <v>0</v>
      </c>
    </row>
    <row r="30" spans="2:8" ht="21" customHeight="1">
      <c r="B30" s="172"/>
      <c r="C30" s="175"/>
      <c r="D30" s="55" t="s">
        <v>123</v>
      </c>
      <c r="E30" s="147">
        <f>E31+E32+E33+E34+E35</f>
        <v>4534.058</v>
      </c>
      <c r="F30" s="56">
        <f>F31+F32+F33+F34+F35</f>
        <v>4364.7349999999997</v>
      </c>
      <c r="G30" s="56">
        <f>G31+G32+G33+G34+G35</f>
        <v>4154.2349999999997</v>
      </c>
      <c r="H30" s="56">
        <f t="shared" si="4"/>
        <v>13053.027999999998</v>
      </c>
    </row>
    <row r="31" spans="2:8" ht="24.75" customHeight="1">
      <c r="B31" s="172"/>
      <c r="C31" s="175"/>
      <c r="D31" s="55" t="s">
        <v>2</v>
      </c>
      <c r="E31" s="147">
        <v>264</v>
      </c>
      <c r="F31" s="56"/>
      <c r="G31" s="56"/>
      <c r="H31" s="56">
        <f t="shared" si="4"/>
        <v>264</v>
      </c>
    </row>
    <row r="32" spans="2:8" ht="22.5" customHeight="1">
      <c r="B32" s="172"/>
      <c r="C32" s="175"/>
      <c r="D32" s="55" t="s">
        <v>3</v>
      </c>
      <c r="E32" s="147">
        <v>195.3</v>
      </c>
      <c r="F32" s="56">
        <v>168.4</v>
      </c>
      <c r="G32" s="56"/>
      <c r="H32" s="56">
        <f t="shared" si="4"/>
        <v>363.70000000000005</v>
      </c>
    </row>
    <row r="33" spans="2:10" ht="22.5" customHeight="1">
      <c r="B33" s="172"/>
      <c r="C33" s="175"/>
      <c r="D33" s="55" t="s">
        <v>62</v>
      </c>
      <c r="E33" s="147"/>
      <c r="F33" s="56"/>
      <c r="G33" s="56"/>
      <c r="H33" s="56">
        <f t="shared" si="4"/>
        <v>0</v>
      </c>
    </row>
    <row r="34" spans="2:10" ht="21" customHeight="1">
      <c r="B34" s="173"/>
      <c r="C34" s="176"/>
      <c r="D34" s="55" t="s">
        <v>156</v>
      </c>
      <c r="E34" s="147">
        <v>4074.7579999999998</v>
      </c>
      <c r="F34" s="56">
        <v>4196.335</v>
      </c>
      <c r="G34" s="56">
        <v>4154.2349999999997</v>
      </c>
      <c r="H34" s="56">
        <f t="shared" si="4"/>
        <v>12425.328</v>
      </c>
    </row>
    <row r="35" spans="2:10" ht="18.75" hidden="1" customHeight="1">
      <c r="B35" s="61"/>
      <c r="C35" s="62"/>
      <c r="D35" s="55"/>
      <c r="E35" s="56"/>
      <c r="F35" s="56"/>
      <c r="G35" s="56"/>
      <c r="H35" s="56"/>
    </row>
    <row r="36" spans="2:10" ht="18.75" customHeight="1">
      <c r="B36" s="57"/>
      <c r="C36" s="58"/>
      <c r="D36" s="59"/>
      <c r="E36" s="60"/>
      <c r="F36" s="60"/>
      <c r="G36" s="60"/>
      <c r="H36" s="60"/>
    </row>
    <row r="37" spans="2:10" ht="39.950000000000003" customHeight="1">
      <c r="B37" s="164"/>
      <c r="C37" s="164"/>
      <c r="D37" s="164"/>
      <c r="E37" s="164"/>
      <c r="F37" s="4"/>
      <c r="G37" s="165"/>
      <c r="H37" s="165"/>
      <c r="I37" s="165" t="s">
        <v>104</v>
      </c>
      <c r="J37" s="165"/>
    </row>
    <row r="42" spans="2:10">
      <c r="B42" s="50"/>
    </row>
  </sheetData>
  <autoFilter ref="B6:K35"/>
  <mergeCells count="17">
    <mergeCell ref="B37:E37"/>
    <mergeCell ref="I37:J37"/>
    <mergeCell ref="G37:H37"/>
    <mergeCell ref="C21:C27"/>
    <mergeCell ref="B21:B27"/>
    <mergeCell ref="B28:B34"/>
    <mergeCell ref="C28:C34"/>
    <mergeCell ref="F1:H1"/>
    <mergeCell ref="C7:C13"/>
    <mergeCell ref="B7:B13"/>
    <mergeCell ref="C14:C20"/>
    <mergeCell ref="B14:B20"/>
    <mergeCell ref="B3:H3"/>
    <mergeCell ref="B5:B6"/>
    <mergeCell ref="C5:C6"/>
    <mergeCell ref="D5:D6"/>
    <mergeCell ref="E5:H5"/>
  </mergeCells>
  <phoneticPr fontId="0" type="noConversion"/>
  <pageMargins left="0.28999999999999998" right="0.45" top="0.74803149606299213" bottom="0.74803149606299213" header="0.31496062992125984" footer="0.31496062992125984"/>
  <pageSetup paperSize="9" scale="65" fitToHeight="13" orientation="landscape" r:id="rId1"/>
  <rowBreaks count="1" manualBreakCount="1">
    <brk id="13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134"/>
  <sheetViews>
    <sheetView view="pageBreakPreview" zoomScaleNormal="85" zoomScaleSheetLayoutView="70" workbookViewId="0">
      <selection activeCell="K126" sqref="K126"/>
    </sheetView>
  </sheetViews>
  <sheetFormatPr defaultRowHeight="18.75" outlineLevelRow="1"/>
  <cols>
    <col min="1" max="1" width="46.140625" style="34" customWidth="1"/>
    <col min="2" max="6" width="11.140625" style="11" customWidth="1"/>
    <col min="7" max="10" width="13.42578125" style="11" customWidth="1"/>
    <col min="11" max="11" width="16.85546875" style="11" customWidth="1"/>
    <col min="12" max="12" width="15.5703125" style="11" hidden="1" customWidth="1"/>
    <col min="13" max="13" width="17.5703125" style="11" hidden="1" customWidth="1"/>
    <col min="14" max="14" width="14.28515625" style="11" hidden="1" customWidth="1"/>
    <col min="15" max="15" width="13.140625" style="11" hidden="1" customWidth="1"/>
    <col min="16" max="16" width="10.140625" style="11" hidden="1" customWidth="1"/>
    <col min="17" max="17" width="11.28515625" style="11" hidden="1" customWidth="1"/>
    <col min="18" max="18" width="12.85546875" style="11" hidden="1" customWidth="1"/>
    <col min="19" max="19" width="10.140625" style="11" hidden="1" customWidth="1"/>
    <col min="20" max="23" width="0" style="11" hidden="1" customWidth="1"/>
    <col min="24" max="16384" width="9.140625" style="11"/>
  </cols>
  <sheetData>
    <row r="1" spans="1:15" s="9" customFormat="1" ht="134.25" customHeight="1">
      <c r="A1" s="31"/>
      <c r="F1" s="187" t="s">
        <v>241</v>
      </c>
      <c r="G1" s="187"/>
      <c r="H1" s="187"/>
      <c r="I1" s="187"/>
      <c r="J1" s="187"/>
      <c r="K1" s="187"/>
    </row>
    <row r="2" spans="1:15" ht="39.75" customHeight="1">
      <c r="A2" s="190" t="s">
        <v>158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4" spans="1:15" s="10" customFormat="1" ht="57" customHeight="1">
      <c r="A4" s="191" t="s">
        <v>61</v>
      </c>
      <c r="B4" s="192" t="s">
        <v>60</v>
      </c>
      <c r="C4" s="192"/>
      <c r="D4" s="192"/>
      <c r="E4" s="192"/>
      <c r="F4" s="192"/>
      <c r="G4" s="192" t="s">
        <v>183</v>
      </c>
      <c r="H4" s="192"/>
      <c r="I4" s="192"/>
      <c r="J4" s="192"/>
      <c r="K4" s="192"/>
    </row>
    <row r="5" spans="1:15">
      <c r="A5" s="191"/>
      <c r="B5" s="12" t="s">
        <v>4</v>
      </c>
      <c r="C5" s="12" t="s">
        <v>5</v>
      </c>
      <c r="D5" s="12" t="s">
        <v>79</v>
      </c>
      <c r="E5" s="12" t="s">
        <v>80</v>
      </c>
      <c r="F5" s="12" t="s">
        <v>81</v>
      </c>
      <c r="G5" s="12" t="s">
        <v>4</v>
      </c>
      <c r="H5" s="12" t="s">
        <v>5</v>
      </c>
      <c r="I5" s="12" t="s">
        <v>79</v>
      </c>
      <c r="J5" s="12" t="s">
        <v>80</v>
      </c>
      <c r="K5" s="12" t="s">
        <v>81</v>
      </c>
    </row>
    <row r="6" spans="1:15" ht="42.75" customHeight="1">
      <c r="A6" s="188" t="s">
        <v>171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</row>
    <row r="7" spans="1:15">
      <c r="A7" s="189" t="s">
        <v>6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</row>
    <row r="8" spans="1:15" ht="37.5">
      <c r="A8" s="32" t="s">
        <v>174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5" ht="56.25">
      <c r="A9" s="80" t="s">
        <v>122</v>
      </c>
      <c r="B9" s="13">
        <v>10000</v>
      </c>
      <c r="C9" s="13">
        <v>10000</v>
      </c>
      <c r="D9" s="13">
        <v>10000</v>
      </c>
      <c r="E9" s="13">
        <v>10000</v>
      </c>
      <c r="F9" s="13">
        <v>10000</v>
      </c>
      <c r="G9" s="35">
        <v>8018.143</v>
      </c>
      <c r="H9" s="36">
        <v>8484.8070000000007</v>
      </c>
      <c r="I9" s="36">
        <v>11256.89</v>
      </c>
      <c r="J9" s="36">
        <v>10820.957</v>
      </c>
      <c r="K9" s="36">
        <v>10820.957</v>
      </c>
      <c r="L9" s="11" t="s">
        <v>7</v>
      </c>
    </row>
    <row r="10" spans="1:15" hidden="1" outlineLevel="1">
      <c r="A10" s="32" t="s">
        <v>8</v>
      </c>
      <c r="B10" s="13">
        <f>306834</f>
        <v>306834</v>
      </c>
      <c r="C10" s="13">
        <f>311000</f>
        <v>311000</v>
      </c>
      <c r="D10" s="13">
        <v>311000</v>
      </c>
      <c r="E10" s="13">
        <v>311000</v>
      </c>
      <c r="F10" s="13">
        <f>E10</f>
        <v>311000</v>
      </c>
      <c r="G10" s="13">
        <f>44336.6</f>
        <v>44336.6</v>
      </c>
      <c r="H10" s="15">
        <v>63645.2</v>
      </c>
      <c r="I10" s="16">
        <f>61280.2+9557</f>
        <v>70837.2</v>
      </c>
      <c r="J10" s="16">
        <f>62858.9+12321.2</f>
        <v>75180.100000000006</v>
      </c>
      <c r="K10" s="13">
        <f>62858.9+12321.2</f>
        <v>75180.100000000006</v>
      </c>
      <c r="M10" s="11">
        <f>10869.9+M77+M46</f>
        <v>9557</v>
      </c>
      <c r="N10" s="17">
        <f>13640.4+N77+N46</f>
        <v>12321.199999999999</v>
      </c>
      <c r="O10" s="11">
        <f>13640.4+O77+O46</f>
        <v>12321.199999999999</v>
      </c>
    </row>
    <row r="11" spans="1:15" hidden="1" outlineLevel="1">
      <c r="A11" s="32" t="s">
        <v>9</v>
      </c>
      <c r="B11" s="13">
        <f>321437</f>
        <v>321437</v>
      </c>
      <c r="C11" s="13">
        <f>304828</f>
        <v>304828</v>
      </c>
      <c r="D11" s="13">
        <f>304830</f>
        <v>304830</v>
      </c>
      <c r="E11" s="13">
        <f>304830</f>
        <v>304830</v>
      </c>
      <c r="F11" s="13">
        <f>E11</f>
        <v>304830</v>
      </c>
      <c r="G11" s="13">
        <f>44336.6+55573.2</f>
        <v>99909.799999999988</v>
      </c>
      <c r="H11" s="16">
        <v>45350.3</v>
      </c>
      <c r="I11" s="16">
        <f>48529.1+9667.8</f>
        <v>58196.899999999994</v>
      </c>
      <c r="J11" s="16">
        <f>49182+11977.2</f>
        <v>61159.199999999997</v>
      </c>
      <c r="K11" s="13">
        <f>J11</f>
        <v>61159.199999999997</v>
      </c>
      <c r="M11" s="11">
        <f>[14]индексация!E29+M47</f>
        <v>9667.8000000000011</v>
      </c>
      <c r="N11" s="11">
        <f>[14]индексация!F29+N47</f>
        <v>11977.2</v>
      </c>
      <c r="O11" s="11">
        <f>[14]индексация!G29+O47</f>
        <v>11977.2</v>
      </c>
    </row>
    <row r="12" spans="1:15" ht="38.25" customHeight="1" collapsed="1">
      <c r="A12" s="180" t="s">
        <v>10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</row>
    <row r="13" spans="1:15" ht="26.25" customHeight="1">
      <c r="A13" s="179" t="s">
        <v>6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</row>
    <row r="14" spans="1:15" ht="37.5">
      <c r="A14" s="32" t="s">
        <v>175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5" ht="37.5">
      <c r="A15" s="80" t="s">
        <v>127</v>
      </c>
      <c r="B15" s="13">
        <v>3600</v>
      </c>
      <c r="C15" s="13">
        <v>3605</v>
      </c>
      <c r="D15" s="13">
        <v>3605</v>
      </c>
      <c r="E15" s="13">
        <v>3605</v>
      </c>
      <c r="F15" s="13">
        <v>3610</v>
      </c>
      <c r="G15" s="36">
        <v>210.29599999999999</v>
      </c>
      <c r="H15" s="36">
        <v>243.28200000000001</v>
      </c>
      <c r="I15" s="36">
        <v>215.12700000000001</v>
      </c>
      <c r="J15" s="36">
        <v>285.61200000000002</v>
      </c>
      <c r="K15" s="36">
        <v>285.61200000000002</v>
      </c>
      <c r="L15" s="11" t="s">
        <v>11</v>
      </c>
      <c r="M15" s="11">
        <f>34743.3-115</f>
        <v>34628.300000000003</v>
      </c>
      <c r="N15" s="11">
        <f>42166.6-115</f>
        <v>42051.6</v>
      </c>
      <c r="O15" s="11">
        <f>42166.6-115</f>
        <v>42051.6</v>
      </c>
    </row>
    <row r="16" spans="1:15" ht="45.75" hidden="1" customHeight="1" outlineLevel="1">
      <c r="A16" s="81" t="s">
        <v>12</v>
      </c>
      <c r="B16" s="13">
        <f>[15]музеи!$E$135</f>
        <v>250970</v>
      </c>
      <c r="C16" s="13">
        <v>251000</v>
      </c>
      <c r="D16" s="82">
        <v>253.4</v>
      </c>
      <c r="E16" s="15">
        <v>258.5</v>
      </c>
      <c r="F16" s="15">
        <v>261.10000000000002</v>
      </c>
      <c r="G16" s="13"/>
      <c r="H16" s="16"/>
      <c r="I16" s="16"/>
      <c r="J16" s="16"/>
      <c r="K16" s="13"/>
      <c r="M16" s="11">
        <v>-5688.2999999999993</v>
      </c>
      <c r="N16" s="11">
        <v>-6088.2999999999993</v>
      </c>
      <c r="O16" s="11">
        <v>-7684.9</v>
      </c>
    </row>
    <row r="17" spans="1:18" ht="30.75" hidden="1" customHeight="1" outlineLevel="1">
      <c r="A17" s="81" t="s">
        <v>13</v>
      </c>
      <c r="B17" s="13">
        <v>21461</v>
      </c>
      <c r="C17" s="13">
        <v>16500</v>
      </c>
      <c r="D17" s="83">
        <v>21.7</v>
      </c>
      <c r="E17" s="15">
        <v>22.1</v>
      </c>
      <c r="F17" s="15">
        <v>22.3</v>
      </c>
      <c r="G17" s="13"/>
      <c r="H17" s="16"/>
      <c r="I17" s="16"/>
      <c r="J17" s="16"/>
      <c r="K17" s="13"/>
    </row>
    <row r="18" spans="1:18" ht="75" hidden="1" outlineLevel="1">
      <c r="A18" s="81" t="s">
        <v>14</v>
      </c>
      <c r="B18" s="13">
        <v>298000</v>
      </c>
      <c r="C18" s="13">
        <f>300000-17000</f>
        <v>283000</v>
      </c>
      <c r="D18" s="82">
        <v>302.94</v>
      </c>
      <c r="E18" s="15">
        <v>309</v>
      </c>
      <c r="F18" s="15">
        <v>312.10000000000002</v>
      </c>
      <c r="G18" s="13"/>
      <c r="H18" s="16"/>
      <c r="I18" s="16"/>
      <c r="J18" s="16"/>
      <c r="K18" s="13"/>
    </row>
    <row r="19" spans="1:18" ht="75" hidden="1" outlineLevel="1">
      <c r="A19" s="81" t="s">
        <v>15</v>
      </c>
      <c r="B19" s="13">
        <v>300100</v>
      </c>
      <c r="C19" s="13">
        <v>300200</v>
      </c>
      <c r="D19" s="82">
        <v>327.8</v>
      </c>
      <c r="E19" s="15">
        <v>334.4</v>
      </c>
      <c r="F19" s="15">
        <v>337.7</v>
      </c>
      <c r="G19" s="13"/>
      <c r="H19" s="16"/>
      <c r="I19" s="16"/>
      <c r="J19" s="16"/>
      <c r="K19" s="13"/>
    </row>
    <row r="20" spans="1:18" ht="75" hidden="1" outlineLevel="1">
      <c r="A20" s="81" t="s">
        <v>16</v>
      </c>
      <c r="B20" s="13">
        <v>22432</v>
      </c>
      <c r="C20" s="13">
        <v>21900</v>
      </c>
      <c r="D20" s="82">
        <v>22.4</v>
      </c>
      <c r="E20" s="15">
        <v>22.8</v>
      </c>
      <c r="F20" s="15">
        <v>23</v>
      </c>
      <c r="G20" s="13"/>
      <c r="H20" s="16"/>
      <c r="I20" s="16"/>
      <c r="J20" s="16"/>
      <c r="K20" s="13"/>
    </row>
    <row r="21" spans="1:18" ht="41.25" customHeight="1" collapsed="1">
      <c r="A21" s="184" t="s">
        <v>162</v>
      </c>
      <c r="B21" s="185"/>
      <c r="C21" s="185"/>
      <c r="D21" s="185"/>
      <c r="E21" s="185"/>
      <c r="F21" s="185"/>
      <c r="G21" s="185"/>
      <c r="H21" s="185"/>
      <c r="I21" s="185"/>
      <c r="J21" s="185"/>
      <c r="K21" s="186"/>
    </row>
    <row r="22" spans="1:18" ht="25.5" customHeight="1">
      <c r="A22" s="179" t="s">
        <v>166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</row>
    <row r="23" spans="1:18" ht="45" customHeight="1">
      <c r="A23" s="32" t="s">
        <v>176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spans="1:18" ht="34.5" customHeight="1">
      <c r="A24" s="80" t="s">
        <v>167</v>
      </c>
      <c r="B24" s="13">
        <v>55905</v>
      </c>
      <c r="C24" s="13">
        <v>55905</v>
      </c>
      <c r="D24" s="13">
        <v>55905</v>
      </c>
      <c r="E24" s="13">
        <v>55905</v>
      </c>
      <c r="F24" s="13">
        <v>55905</v>
      </c>
      <c r="G24" s="13">
        <v>1268.4949999999999</v>
      </c>
      <c r="H24" s="13">
        <v>1711.5319999999999</v>
      </c>
      <c r="I24" s="13">
        <v>2150.6129999999998</v>
      </c>
      <c r="J24" s="13">
        <v>2183.0410000000002</v>
      </c>
      <c r="K24" s="13">
        <v>2183.0410000000002</v>
      </c>
    </row>
    <row r="25" spans="1:18" ht="39" customHeight="1">
      <c r="A25" s="80" t="s">
        <v>168</v>
      </c>
      <c r="B25" s="22">
        <v>4500</v>
      </c>
      <c r="C25" s="22">
        <v>4600</v>
      </c>
      <c r="D25" s="22">
        <v>4600</v>
      </c>
      <c r="E25" s="22">
        <v>4600</v>
      </c>
      <c r="F25" s="22">
        <v>4600</v>
      </c>
      <c r="G25" s="37">
        <v>635.35599999999999</v>
      </c>
      <c r="H25" s="37">
        <v>712.93899999999996</v>
      </c>
      <c r="I25" s="37">
        <v>579.37099999999998</v>
      </c>
      <c r="J25" s="37">
        <v>914.79700000000003</v>
      </c>
      <c r="K25" s="37">
        <v>914.79700000000003</v>
      </c>
    </row>
    <row r="26" spans="1:18" hidden="1" outlineLevel="1">
      <c r="A26" s="32" t="s">
        <v>8</v>
      </c>
      <c r="B26" s="22">
        <v>499884</v>
      </c>
      <c r="C26" s="22">
        <f>'[16]прил. 1 2013-2015 (в прик.(уто)'!$D$12+'[16]прил. 1 2013-2015 (в прик.(уто)'!$D$13+'[16]прил. 1 2013-2015 (в прик.(уто)'!$D$14+'[16]прил. 1 2013-2015 (в прик.(уто)'!$D$15+'[16]прил. 1 2013-2015 (в прик.(уто)'!$D$16</f>
        <v>462544</v>
      </c>
      <c r="D26" s="22">
        <v>501470</v>
      </c>
      <c r="E26" s="22">
        <v>513413</v>
      </c>
      <c r="F26" s="22">
        <v>520713</v>
      </c>
      <c r="G26" s="18">
        <v>359205.9</v>
      </c>
      <c r="H26" s="18">
        <v>404618.4</v>
      </c>
      <c r="I26" s="18">
        <f>376402.4+61431.8</f>
        <v>437834.2</v>
      </c>
      <c r="J26" s="18">
        <f>380458.8+76201.5</f>
        <v>456660.3</v>
      </c>
      <c r="K26" s="18">
        <f>J26</f>
        <v>456660.3</v>
      </c>
      <c r="L26" s="11" t="s">
        <v>18</v>
      </c>
      <c r="M26" s="11">
        <f>[14]индексация!E47+[14]индексация!T47+M93</f>
        <v>60695.200000000012</v>
      </c>
      <c r="N26" s="11">
        <f>[14]индексация!F47+[14]индексация!U47+N93</f>
        <v>75426.999999999985</v>
      </c>
      <c r="O26" s="11">
        <f>[14]индексация!G47+[14]индексация!V47-774.5</f>
        <v>75426.999999999985</v>
      </c>
    </row>
    <row r="27" spans="1:18" hidden="1" outlineLevel="1">
      <c r="A27" s="32" t="s">
        <v>9</v>
      </c>
      <c r="B27" s="22">
        <v>265234</v>
      </c>
      <c r="C27" s="22">
        <f>'[16]прил. 1 2013-2015 (в прик.(уто)'!$D$17+'[16]прил. 1 2013-2015 (в прик.(уто)'!$D$18+'[16]прил. 1 2013-2015 (в прик.(уто)'!$D$19+'[16]прил. 1 2013-2015 (в прик.(уто)'!$D$20</f>
        <v>257761</v>
      </c>
      <c r="D27" s="22">
        <v>260200</v>
      </c>
      <c r="E27" s="22">
        <v>258361</v>
      </c>
      <c r="F27" s="22">
        <v>258811</v>
      </c>
      <c r="G27" s="18">
        <v>123882.5</v>
      </c>
      <c r="H27" s="18">
        <v>160305.9</v>
      </c>
      <c r="I27" s="18">
        <f>122611.7+M27</f>
        <v>150225.60000000001</v>
      </c>
      <c r="J27" s="18">
        <f>124013.8+N27</f>
        <v>159113.79999999999</v>
      </c>
      <c r="K27" s="18">
        <f>J27</f>
        <v>159113.79999999999</v>
      </c>
      <c r="L27" s="11" t="s">
        <v>18</v>
      </c>
      <c r="M27" s="11">
        <f>28882.8-1294.6-M94</f>
        <v>27613.9</v>
      </c>
      <c r="N27" s="11">
        <f>36249.7-1177.5-N94</f>
        <v>35100</v>
      </c>
      <c r="O27" s="11">
        <f>36249.7-1177.5-O94</f>
        <v>35100</v>
      </c>
    </row>
    <row r="28" spans="1:18" ht="42.75" customHeight="1" collapsed="1">
      <c r="A28" s="180" t="s">
        <v>163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8">
      <c r="A29" s="179" t="s">
        <v>17</v>
      </c>
      <c r="B29" s="179"/>
      <c r="C29" s="179"/>
      <c r="D29" s="179"/>
      <c r="E29" s="179"/>
      <c r="F29" s="179"/>
      <c r="G29" s="179"/>
      <c r="H29" s="179"/>
      <c r="I29" s="179"/>
      <c r="J29" s="179"/>
      <c r="K29" s="179"/>
    </row>
    <row r="30" spans="1:18" ht="37.5">
      <c r="A30" s="32" t="s">
        <v>177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1:18" ht="39" customHeight="1">
      <c r="A31" s="80" t="s">
        <v>169</v>
      </c>
      <c r="B31" s="22">
        <v>5</v>
      </c>
      <c r="C31" s="22">
        <v>6</v>
      </c>
      <c r="D31" s="22">
        <v>6</v>
      </c>
      <c r="E31" s="22">
        <v>6</v>
      </c>
      <c r="F31" s="22">
        <v>6</v>
      </c>
      <c r="G31" s="37">
        <v>5000.6329999999998</v>
      </c>
      <c r="H31" s="37">
        <v>5296.4459999999999</v>
      </c>
      <c r="I31" s="37">
        <v>6868.0370000000003</v>
      </c>
      <c r="J31" s="37">
        <v>6639.8649999999998</v>
      </c>
      <c r="K31" s="37">
        <v>6639.8649999999998</v>
      </c>
    </row>
    <row r="32" spans="1:18" ht="37.5" hidden="1" outlineLevel="1">
      <c r="A32" s="80" t="s">
        <v>94</v>
      </c>
      <c r="B32" s="22">
        <v>312758</v>
      </c>
      <c r="C32" s="22">
        <f>'[17]прил. 1 2013-2015 (в прик.(уто)'!$D$21</f>
        <v>290000</v>
      </c>
      <c r="D32" s="22">
        <v>293600</v>
      </c>
      <c r="E32" s="22">
        <v>299600</v>
      </c>
      <c r="F32" s="22">
        <v>302600</v>
      </c>
      <c r="G32" s="18">
        <v>221986.6</v>
      </c>
      <c r="H32" s="18">
        <v>248804.7</v>
      </c>
      <c r="I32" s="18">
        <f>241738.4+36730.3-952.2</f>
        <v>277516.5</v>
      </c>
      <c r="J32" s="18">
        <f>246065.8+45061.4-952.2</f>
        <v>290175</v>
      </c>
      <c r="K32" s="18">
        <f>J32</f>
        <v>290175</v>
      </c>
      <c r="L32" s="11" t="s">
        <v>19</v>
      </c>
      <c r="M32" s="11">
        <v>36730.300000000003</v>
      </c>
      <c r="N32" s="11">
        <v>45061.4</v>
      </c>
      <c r="O32" s="11">
        <v>45061.4</v>
      </c>
      <c r="P32" s="11">
        <v>952.19999999999993</v>
      </c>
      <c r="Q32" s="11">
        <v>952.19999999999993</v>
      </c>
      <c r="R32" s="11">
        <v>952.19999999999993</v>
      </c>
    </row>
    <row r="33" spans="1:15" ht="37.5" hidden="1" outlineLevel="1">
      <c r="A33" s="80" t="s">
        <v>94</v>
      </c>
      <c r="B33" s="22">
        <v>234070</v>
      </c>
      <c r="C33" s="22">
        <f>'[17]прил. 1 2013-2015 (в прик.(уто)'!$D$22</f>
        <v>235080</v>
      </c>
      <c r="D33" s="22">
        <f>'[17]прил. 1 2013-2015 (в прик.(уто)'!$G$22</f>
        <v>235500</v>
      </c>
      <c r="E33" s="22">
        <f>'[17]прил. 1 2013-2015 (в прик.(уто)'!$J$22</f>
        <v>235550</v>
      </c>
      <c r="F33" s="22">
        <f>E33</f>
        <v>235550</v>
      </c>
      <c r="G33" s="18">
        <v>25264</v>
      </c>
      <c r="H33" s="18">
        <v>28015.4</v>
      </c>
      <c r="I33" s="18">
        <f>29315.5+4533.6</f>
        <v>33849.1</v>
      </c>
      <c r="J33" s="18">
        <f>29845.3+5535.2</f>
        <v>35380.5</v>
      </c>
      <c r="K33" s="18">
        <f>J33</f>
        <v>35380.5</v>
      </c>
      <c r="L33" s="11" t="s">
        <v>100</v>
      </c>
      <c r="M33" s="11">
        <v>4533.6000000000004</v>
      </c>
      <c r="N33" s="11">
        <v>5535.2</v>
      </c>
      <c r="O33" s="11">
        <v>5535.2</v>
      </c>
    </row>
    <row r="34" spans="1:15" ht="40.5" customHeight="1" collapsed="1">
      <c r="A34" s="180" t="s">
        <v>170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</row>
    <row r="35" spans="1:15" ht="23.25" customHeight="1">
      <c r="A35" s="179" t="s">
        <v>54</v>
      </c>
      <c r="B35" s="179"/>
      <c r="C35" s="179"/>
      <c r="D35" s="179"/>
      <c r="E35" s="179"/>
      <c r="F35" s="179"/>
      <c r="G35" s="179"/>
      <c r="H35" s="179"/>
      <c r="I35" s="179"/>
      <c r="J35" s="179"/>
      <c r="K35" s="179"/>
    </row>
    <row r="36" spans="1:15" ht="37.5">
      <c r="A36" s="32" t="s">
        <v>177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5" ht="37.5">
      <c r="A37" s="80" t="s">
        <v>167</v>
      </c>
      <c r="B37" s="13">
        <v>4</v>
      </c>
      <c r="C37" s="13">
        <v>4</v>
      </c>
      <c r="D37" s="13">
        <v>4</v>
      </c>
      <c r="E37" s="13">
        <v>4</v>
      </c>
      <c r="F37" s="13">
        <v>4</v>
      </c>
      <c r="G37" s="38">
        <v>1268.4949999999999</v>
      </c>
      <c r="H37" s="38">
        <v>1711.5319999999999</v>
      </c>
      <c r="I37" s="38">
        <v>2150.6129999999998</v>
      </c>
      <c r="J37" s="38">
        <v>2183.0410000000002</v>
      </c>
      <c r="K37" s="38">
        <v>2183.0410000000002</v>
      </c>
    </row>
    <row r="38" spans="1:15" ht="37.5">
      <c r="A38" s="80" t="s">
        <v>168</v>
      </c>
      <c r="B38" s="32">
        <v>2</v>
      </c>
      <c r="C38" s="32">
        <v>2</v>
      </c>
      <c r="D38" s="32">
        <v>2</v>
      </c>
      <c r="E38" s="32">
        <v>2</v>
      </c>
      <c r="F38" s="32">
        <v>2</v>
      </c>
      <c r="G38" s="35">
        <v>321.584</v>
      </c>
      <c r="H38" s="35">
        <v>385.82299999999998</v>
      </c>
      <c r="I38" s="35">
        <v>968.41800000000001</v>
      </c>
      <c r="J38" s="35">
        <v>495.012</v>
      </c>
      <c r="K38" s="35">
        <v>495.012</v>
      </c>
      <c r="L38" s="11" t="s">
        <v>20</v>
      </c>
      <c r="M38" s="11">
        <v>45156.5</v>
      </c>
      <c r="N38" s="11">
        <v>59786.8</v>
      </c>
      <c r="O38" s="11">
        <v>59786.8</v>
      </c>
    </row>
    <row r="39" spans="1:15" hidden="1">
      <c r="A39" s="32"/>
      <c r="B39" s="32"/>
      <c r="C39" s="32"/>
      <c r="D39" s="32"/>
      <c r="E39" s="32"/>
      <c r="F39" s="32"/>
      <c r="G39" s="32"/>
      <c r="H39" s="32" t="e">
        <f>#REF!+H38+H31+H25+H15+H9</f>
        <v>#REF!</v>
      </c>
      <c r="I39" s="32" t="e">
        <f>#REF!+I38+I31+I25+I15+I9</f>
        <v>#REF!</v>
      </c>
      <c r="J39" s="32" t="e">
        <f>#REF!+J38+J31+J25+J15+J9</f>
        <v>#REF!</v>
      </c>
      <c r="K39" s="32" t="e">
        <f>#REF!+K38+K31+K25+K15+K9</f>
        <v>#REF!</v>
      </c>
      <c r="L39" s="19">
        <f>'[18]прил. 1 2013-2015 (в прик.(уто)'!$F$42</f>
        <v>1518464.4185500001</v>
      </c>
      <c r="M39" s="14">
        <f>'[18]прил. 1 2013-2015 (в прик.(уто)'!$I$42</f>
        <v>1442214.0064999999</v>
      </c>
      <c r="N39" s="14">
        <f>'[18]прил. 1 2013-2015 (в прик.(уто)'!$L$42</f>
        <v>1466152.7714099998</v>
      </c>
    </row>
    <row r="40" spans="1:15" ht="150" hidden="1">
      <c r="A40" s="32"/>
      <c r="B40" s="79" t="s">
        <v>21</v>
      </c>
      <c r="C40" s="79" t="s">
        <v>22</v>
      </c>
      <c r="D40" s="79" t="s">
        <v>23</v>
      </c>
      <c r="E40" s="79" t="s">
        <v>23</v>
      </c>
      <c r="F40" s="79" t="s">
        <v>23</v>
      </c>
      <c r="G40" s="79" t="s">
        <v>21</v>
      </c>
      <c r="H40" s="79" t="s">
        <v>22</v>
      </c>
      <c r="I40" s="32"/>
      <c r="J40" s="32"/>
      <c r="K40" s="32"/>
    </row>
    <row r="41" spans="1:15" hidden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11" t="e">
        <f>L39-H39</f>
        <v>#REF!</v>
      </c>
      <c r="M41" s="11" t="e">
        <f>M39-I39</f>
        <v>#REF!</v>
      </c>
      <c r="N41" s="11" t="e">
        <f>N39-J39</f>
        <v>#REF!</v>
      </c>
    </row>
    <row r="42" spans="1:15" ht="30.75" customHeight="1">
      <c r="A42" s="177" t="s">
        <v>30</v>
      </c>
      <c r="B42" s="178"/>
      <c r="C42" s="178"/>
      <c r="D42" s="178"/>
      <c r="E42" s="178"/>
      <c r="F42" s="178"/>
      <c r="G42" s="178"/>
      <c r="H42" s="178"/>
      <c r="I42" s="178"/>
      <c r="J42" s="178"/>
      <c r="K42" s="178"/>
    </row>
    <row r="43" spans="1:15" ht="29.25" customHeight="1">
      <c r="A43" s="179" t="s">
        <v>56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</row>
    <row r="44" spans="1:15" ht="37.5">
      <c r="A44" s="32" t="s">
        <v>175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5" ht="56.25">
      <c r="A45" s="80" t="s">
        <v>122</v>
      </c>
      <c r="B45" s="13">
        <v>206670</v>
      </c>
      <c r="C45" s="13">
        <v>210204</v>
      </c>
      <c r="D45" s="13">
        <v>210204</v>
      </c>
      <c r="E45" s="13">
        <v>210204</v>
      </c>
      <c r="F45" s="13">
        <v>210204</v>
      </c>
      <c r="G45" s="35">
        <v>588.31600000000003</v>
      </c>
      <c r="H45" s="36">
        <v>741.87400000000002</v>
      </c>
      <c r="I45" s="36">
        <v>1197.2529999999999</v>
      </c>
      <c r="J45" s="36">
        <v>945.37900000000002</v>
      </c>
      <c r="K45" s="36">
        <v>945.37900000000002</v>
      </c>
      <c r="L45" s="11" t="s">
        <v>7</v>
      </c>
    </row>
    <row r="46" spans="1:15" hidden="1" outlineLevel="1">
      <c r="A46" s="32" t="s">
        <v>8</v>
      </c>
      <c r="B46" s="13">
        <v>4022301</v>
      </c>
      <c r="C46" s="13">
        <v>4022301</v>
      </c>
      <c r="D46" s="13">
        <v>4022301</v>
      </c>
      <c r="E46" s="13">
        <v>4022301</v>
      </c>
      <c r="F46" s="13">
        <v>4022301</v>
      </c>
      <c r="G46" s="13">
        <v>24325.8</v>
      </c>
      <c r="H46" s="15">
        <v>35378.5</v>
      </c>
      <c r="I46" s="16">
        <f>37597-1236</f>
        <v>36361</v>
      </c>
      <c r="J46" s="16">
        <f>37606.9-1236</f>
        <v>36370.9</v>
      </c>
      <c r="K46" s="13">
        <f>J46</f>
        <v>36370.9</v>
      </c>
      <c r="M46" s="11">
        <v>-1236</v>
      </c>
      <c r="N46" s="11">
        <v>-1236</v>
      </c>
      <c r="O46" s="11">
        <v>-1236</v>
      </c>
    </row>
    <row r="47" spans="1:15" ht="6.75" hidden="1" customHeight="1" outlineLevel="1">
      <c r="A47" s="32" t="s">
        <v>9</v>
      </c>
      <c r="B47" s="22">
        <v>736109</v>
      </c>
      <c r="C47" s="13">
        <v>729886</v>
      </c>
      <c r="D47" s="13">
        <v>732886</v>
      </c>
      <c r="E47" s="13">
        <v>735886</v>
      </c>
      <c r="F47" s="13">
        <f>E47</f>
        <v>735886</v>
      </c>
      <c r="G47" s="13">
        <v>12620.8</v>
      </c>
      <c r="H47" s="16">
        <v>12366.2</v>
      </c>
      <c r="I47" s="16">
        <f>12760.8-299.3</f>
        <v>12461.5</v>
      </c>
      <c r="J47" s="16">
        <f>13114.2-299.3</f>
        <v>12814.900000000001</v>
      </c>
      <c r="K47" s="13">
        <f>J47</f>
        <v>12814.900000000001</v>
      </c>
      <c r="M47" s="11">
        <v>-299.3</v>
      </c>
      <c r="N47" s="11">
        <v>-299.3</v>
      </c>
      <c r="O47" s="11">
        <v>-299.3</v>
      </c>
    </row>
    <row r="48" spans="1:15" collapsed="1">
      <c r="A48" s="180" t="s">
        <v>31</v>
      </c>
      <c r="B48" s="179"/>
      <c r="C48" s="179"/>
      <c r="D48" s="179"/>
      <c r="E48" s="179"/>
      <c r="F48" s="179"/>
      <c r="G48" s="179"/>
      <c r="H48" s="179"/>
      <c r="I48" s="179"/>
      <c r="J48" s="179"/>
      <c r="K48" s="179"/>
    </row>
    <row r="49" spans="1:18">
      <c r="A49" s="179" t="s">
        <v>57</v>
      </c>
      <c r="B49" s="179"/>
      <c r="C49" s="179"/>
      <c r="D49" s="179"/>
      <c r="E49" s="179"/>
      <c r="F49" s="179"/>
      <c r="G49" s="179"/>
      <c r="H49" s="179"/>
      <c r="I49" s="179"/>
      <c r="J49" s="179"/>
      <c r="K49" s="179"/>
    </row>
    <row r="50" spans="1:18" ht="37.5">
      <c r="A50" s="32" t="s">
        <v>175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</row>
    <row r="51" spans="1:18" ht="37.5">
      <c r="A51" s="80" t="s">
        <v>127</v>
      </c>
      <c r="B51" s="13">
        <v>1903</v>
      </c>
      <c r="C51" s="13">
        <v>2103</v>
      </c>
      <c r="D51" s="13">
        <v>2303</v>
      </c>
      <c r="E51" s="13">
        <v>2503</v>
      </c>
      <c r="F51" s="13">
        <v>2703</v>
      </c>
      <c r="G51" s="35">
        <v>60.7</v>
      </c>
      <c r="H51" s="36">
        <v>77.563000000000002</v>
      </c>
      <c r="I51" s="36">
        <v>435.36700000000002</v>
      </c>
      <c r="J51" s="36">
        <v>91.058000000000007</v>
      </c>
      <c r="K51" s="36">
        <v>91.058000000000007</v>
      </c>
      <c r="L51" s="11" t="s">
        <v>11</v>
      </c>
    </row>
    <row r="52" spans="1:18" hidden="1" outlineLevel="1">
      <c r="A52" s="32" t="s">
        <v>8</v>
      </c>
      <c r="B52" s="13"/>
      <c r="C52" s="13"/>
      <c r="D52" s="13"/>
      <c r="E52" s="13"/>
      <c r="F52" s="13"/>
      <c r="G52" s="13"/>
      <c r="H52" s="15"/>
      <c r="I52" s="16"/>
      <c r="J52" s="16"/>
      <c r="K52" s="13"/>
    </row>
    <row r="53" spans="1:18" hidden="1" outlineLevel="1">
      <c r="A53" s="32" t="s">
        <v>9</v>
      </c>
      <c r="B53" s="13">
        <v>459140</v>
      </c>
      <c r="C53" s="13">
        <v>459140</v>
      </c>
      <c r="D53" s="13">
        <v>459140</v>
      </c>
      <c r="E53" s="13">
        <v>459140</v>
      </c>
      <c r="F53" s="13">
        <v>459140</v>
      </c>
      <c r="G53" s="13">
        <v>15012.8</v>
      </c>
      <c r="H53" s="15">
        <v>28042.1</v>
      </c>
      <c r="I53" s="16">
        <f>32123.6-115</f>
        <v>32008.6</v>
      </c>
      <c r="J53" s="16">
        <f>31830.2-115</f>
        <v>31715.200000000001</v>
      </c>
      <c r="K53" s="13">
        <f>J53</f>
        <v>31715.200000000001</v>
      </c>
    </row>
    <row r="54" spans="1:18" ht="35.25" customHeight="1" collapsed="1">
      <c r="A54" s="180" t="s">
        <v>164</v>
      </c>
      <c r="B54" s="179"/>
      <c r="C54" s="179"/>
      <c r="D54" s="179"/>
      <c r="E54" s="179"/>
      <c r="F54" s="179"/>
      <c r="G54" s="179"/>
      <c r="H54" s="179"/>
      <c r="I54" s="179"/>
      <c r="J54" s="179"/>
      <c r="K54" s="179"/>
    </row>
    <row r="55" spans="1:18">
      <c r="A55" s="179" t="s">
        <v>55</v>
      </c>
      <c r="B55" s="179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8" ht="37.5">
      <c r="A56" s="32" t="s">
        <v>176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M56" s="20">
        <f>M58-I58</f>
        <v>27535.018</v>
      </c>
      <c r="N56" s="20">
        <f>N58-J58</f>
        <v>29840.753000000001</v>
      </c>
      <c r="O56" s="20">
        <f>O58-K58</f>
        <v>29840.753000000001</v>
      </c>
    </row>
    <row r="57" spans="1:18" ht="37.5">
      <c r="A57" s="80" t="s">
        <v>167</v>
      </c>
      <c r="B57" s="13">
        <v>346</v>
      </c>
      <c r="C57" s="13">
        <v>346</v>
      </c>
      <c r="D57" s="13">
        <v>346</v>
      </c>
      <c r="E57" s="13">
        <v>346</v>
      </c>
      <c r="F57" s="13">
        <v>346</v>
      </c>
      <c r="G57" s="39">
        <v>1489.1780000000001</v>
      </c>
      <c r="H57" s="39">
        <v>1968.739</v>
      </c>
      <c r="I57" s="39">
        <v>1451.3589999999999</v>
      </c>
      <c r="J57" s="39">
        <v>2510.4499999999998</v>
      </c>
      <c r="K57" s="39">
        <v>2510.4499999999998</v>
      </c>
      <c r="M57" s="20"/>
      <c r="N57" s="20"/>
      <c r="O57" s="20"/>
    </row>
    <row r="58" spans="1:18" ht="37.5">
      <c r="A58" s="80" t="s">
        <v>168</v>
      </c>
      <c r="B58" s="22">
        <v>129</v>
      </c>
      <c r="C58" s="22">
        <v>129</v>
      </c>
      <c r="D58" s="22">
        <v>129</v>
      </c>
      <c r="E58" s="22">
        <v>129</v>
      </c>
      <c r="F58" s="22">
        <v>129</v>
      </c>
      <c r="G58" s="39">
        <v>208.54599999999999</v>
      </c>
      <c r="H58" s="39">
        <v>250.20500000000001</v>
      </c>
      <c r="I58" s="39">
        <v>401.88200000000001</v>
      </c>
      <c r="J58" s="39">
        <v>321.04700000000003</v>
      </c>
      <c r="K58" s="39">
        <v>321.04700000000003</v>
      </c>
      <c r="L58" s="21"/>
      <c r="M58" s="21">
        <f>28506.9-570</f>
        <v>27936.9</v>
      </c>
      <c r="N58" s="21">
        <f>30731.8-570</f>
        <v>30161.8</v>
      </c>
      <c r="O58" s="11">
        <f>30731.8-570</f>
        <v>30161.8</v>
      </c>
    </row>
    <row r="59" spans="1:18" hidden="1" outlineLevel="1">
      <c r="A59" s="32" t="s">
        <v>8</v>
      </c>
      <c r="B59" s="22">
        <f>3+2+6+3+9</f>
        <v>23</v>
      </c>
      <c r="C59" s="22">
        <f>2+3+3+3+2</f>
        <v>13</v>
      </c>
      <c r="D59" s="22">
        <f>2+1+2+2+1</f>
        <v>8</v>
      </c>
      <c r="E59" s="22">
        <f>2+1+2+2+1</f>
        <v>8</v>
      </c>
      <c r="F59" s="22">
        <f>2+1+2+2+1</f>
        <v>8</v>
      </c>
      <c r="G59" s="18">
        <v>34781.199999999997</v>
      </c>
      <c r="H59" s="18">
        <v>25392.6</v>
      </c>
      <c r="I59" s="18">
        <f>21924.6-3217.2</f>
        <v>18707.399999999998</v>
      </c>
      <c r="J59" s="18">
        <f>22025.8-3217.2</f>
        <v>18808.599999999999</v>
      </c>
      <c r="K59" s="18">
        <f>J59</f>
        <v>18808.599999999999</v>
      </c>
      <c r="L59" s="11" t="s">
        <v>18</v>
      </c>
      <c r="M59" s="11">
        <f>[14]индексация!T47</f>
        <v>-3217.2</v>
      </c>
      <c r="N59" s="11">
        <f>[14]индексация!U47</f>
        <v>-3217.2</v>
      </c>
      <c r="O59" s="11">
        <f>[14]индексация!V47</f>
        <v>-3217.2</v>
      </c>
      <c r="P59" s="11">
        <v>17831.5</v>
      </c>
      <c r="Q59" s="11">
        <v>17831.5</v>
      </c>
      <c r="R59" s="11">
        <v>17831.5</v>
      </c>
    </row>
    <row r="60" spans="1:18" hidden="1" outlineLevel="1">
      <c r="A60" s="32" t="s">
        <v>9</v>
      </c>
      <c r="B60" s="22">
        <f>3+8+8+1</f>
        <v>20</v>
      </c>
      <c r="C60" s="22">
        <f>3+7+7+1</f>
        <v>18</v>
      </c>
      <c r="D60" s="22">
        <f>3+3+3+2+2</f>
        <v>13</v>
      </c>
      <c r="E60" s="22">
        <f>3+3+3+2+2</f>
        <v>13</v>
      </c>
      <c r="F60" s="22">
        <f>3+3+3+2+2</f>
        <v>13</v>
      </c>
      <c r="G60" s="18">
        <v>11111.7</v>
      </c>
      <c r="H60" s="18">
        <v>10120.700000000001</v>
      </c>
      <c r="I60" s="18">
        <f>10592.1+2246.8</f>
        <v>12838.900000000001</v>
      </c>
      <c r="J60" s="18">
        <f>12981.5+2129.7</f>
        <v>15111.2</v>
      </c>
      <c r="K60" s="18">
        <f>J60</f>
        <v>15111.2</v>
      </c>
      <c r="L60" s="11" t="s">
        <v>18</v>
      </c>
      <c r="M60" s="11">
        <f>[14]индексация!T33</f>
        <v>2246.8000000000002</v>
      </c>
      <c r="N60" s="11">
        <f>[14]индексация!U33</f>
        <v>2129.6999999999994</v>
      </c>
      <c r="O60" s="11">
        <f>[14]индексация!V33</f>
        <v>2129.6999999999994</v>
      </c>
      <c r="P60" s="11">
        <v>10105.4</v>
      </c>
      <c r="Q60" s="21">
        <f>N58-Q59</f>
        <v>12330.3</v>
      </c>
      <c r="R60" s="21">
        <f>O58-R59</f>
        <v>12330.3</v>
      </c>
    </row>
    <row r="61" spans="1:18" ht="44.25" customHeight="1" collapsed="1">
      <c r="A61" s="180" t="s">
        <v>165</v>
      </c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P61" s="20">
        <f t="shared" ref="P61:R62" si="0">P59-I59</f>
        <v>-875.89999999999782</v>
      </c>
      <c r="Q61" s="20">
        <f t="shared" si="0"/>
        <v>-977.09999999999854</v>
      </c>
      <c r="R61" s="20">
        <f t="shared" si="0"/>
        <v>-977.09999999999854</v>
      </c>
    </row>
    <row r="62" spans="1:18">
      <c r="A62" s="179" t="s">
        <v>58</v>
      </c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P62" s="20">
        <f t="shared" si="0"/>
        <v>-2733.5000000000018</v>
      </c>
      <c r="Q62" s="20">
        <f t="shared" si="0"/>
        <v>-2780.9000000000015</v>
      </c>
      <c r="R62" s="20">
        <f t="shared" si="0"/>
        <v>-2780.9000000000015</v>
      </c>
    </row>
    <row r="63" spans="1:18" ht="37.5">
      <c r="A63" s="32" t="s">
        <v>178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8" ht="37.5">
      <c r="A64" s="80" t="s">
        <v>167</v>
      </c>
      <c r="B64" s="13">
        <v>2</v>
      </c>
      <c r="C64" s="13">
        <v>2</v>
      </c>
      <c r="D64" s="13">
        <v>2</v>
      </c>
      <c r="E64" s="13">
        <v>2</v>
      </c>
      <c r="F64" s="13">
        <v>2</v>
      </c>
      <c r="G64" s="38">
        <v>921.56200000000001</v>
      </c>
      <c r="H64" s="13">
        <v>1190.6310000000001</v>
      </c>
      <c r="I64" s="13">
        <v>1651.4590000000001</v>
      </c>
      <c r="J64" s="13">
        <v>1518.6379999999999</v>
      </c>
      <c r="K64" s="13">
        <v>1518.6379999999999</v>
      </c>
    </row>
    <row r="65" spans="1:15" ht="37.5" hidden="1" outlineLevel="1">
      <c r="A65" s="32" t="s">
        <v>8</v>
      </c>
      <c r="B65" s="22">
        <f>58+28</f>
        <v>86</v>
      </c>
      <c r="C65" s="22">
        <v>48</v>
      </c>
      <c r="D65" s="22">
        <v>48</v>
      </c>
      <c r="E65" s="22">
        <v>48</v>
      </c>
      <c r="F65" s="22">
        <v>48</v>
      </c>
      <c r="G65" s="18"/>
      <c r="H65" s="18"/>
      <c r="I65" s="18"/>
      <c r="J65" s="18"/>
      <c r="K65" s="18"/>
      <c r="L65" s="11" t="s">
        <v>46</v>
      </c>
    </row>
    <row r="66" spans="1:15" hidden="1" outlineLevel="1">
      <c r="A66" s="32" t="s">
        <v>9</v>
      </c>
      <c r="B66" s="22"/>
      <c r="C66" s="22">
        <v>150</v>
      </c>
      <c r="D66" s="22">
        <v>150</v>
      </c>
      <c r="E66" s="22">
        <v>150</v>
      </c>
      <c r="F66" s="22">
        <v>150</v>
      </c>
      <c r="G66" s="18">
        <v>7363.3</v>
      </c>
      <c r="H66" s="18">
        <v>12420.8</v>
      </c>
      <c r="I66" s="18">
        <v>13885</v>
      </c>
      <c r="J66" s="18">
        <v>14203.8</v>
      </c>
      <c r="K66" s="18">
        <f>J66</f>
        <v>14203.8</v>
      </c>
    </row>
    <row r="67" spans="1:15" hidden="1" outlineLevel="1">
      <c r="A67" s="32" t="s">
        <v>8</v>
      </c>
      <c r="B67" s="22"/>
      <c r="C67" s="22"/>
      <c r="D67" s="22"/>
      <c r="E67" s="22"/>
      <c r="F67" s="22"/>
      <c r="G67" s="18"/>
      <c r="H67" s="18"/>
      <c r="I67" s="18"/>
      <c r="J67" s="18"/>
      <c r="K67" s="18"/>
    </row>
    <row r="68" spans="1:15" hidden="1" outlineLevel="1">
      <c r="A68" s="32" t="s">
        <v>9</v>
      </c>
      <c r="B68" s="22">
        <v>92</v>
      </c>
      <c r="C68" s="22">
        <v>27</v>
      </c>
      <c r="D68" s="22">
        <v>27</v>
      </c>
      <c r="E68" s="22">
        <v>27</v>
      </c>
      <c r="F68" s="22">
        <v>27</v>
      </c>
      <c r="G68" s="18">
        <v>3912.1</v>
      </c>
      <c r="H68" s="18">
        <f>'[18]прил. 2 2013-2015 (в прик. раб.'!$N$78</f>
        <v>1687.4</v>
      </c>
      <c r="I68" s="18">
        <f>'[18]прил. 2 2013-2015 (в прик. раб.'!$Q$78</f>
        <v>1763.9</v>
      </c>
      <c r="J68" s="18">
        <f>'[18]прил. 2 2013-2015 (в прик. раб.'!$T$78</f>
        <v>1807.6</v>
      </c>
      <c r="K68" s="18">
        <f>J68</f>
        <v>1807.6</v>
      </c>
      <c r="L68" s="11" t="s">
        <v>47</v>
      </c>
    </row>
    <row r="69" spans="1:15" hidden="1" outlineLevel="1">
      <c r="A69" s="32" t="s">
        <v>8</v>
      </c>
      <c r="B69" s="22"/>
      <c r="C69" s="22"/>
      <c r="D69" s="22"/>
      <c r="E69" s="22"/>
      <c r="F69" s="22"/>
      <c r="G69" s="18"/>
      <c r="H69" s="18"/>
      <c r="I69" s="18"/>
      <c r="J69" s="18"/>
      <c r="K69" s="18"/>
    </row>
    <row r="70" spans="1:15" hidden="1" outlineLevel="1">
      <c r="A70" s="32" t="s">
        <v>9</v>
      </c>
      <c r="B70" s="22">
        <v>5718</v>
      </c>
      <c r="C70" s="22">
        <v>4274</v>
      </c>
      <c r="D70" s="22">
        <v>4274</v>
      </c>
      <c r="E70" s="22">
        <v>4274</v>
      </c>
      <c r="F70" s="22">
        <v>4274</v>
      </c>
      <c r="G70" s="18">
        <v>15336.5</v>
      </c>
      <c r="H70" s="18">
        <f>17212</f>
        <v>17212</v>
      </c>
      <c r="I70" s="18">
        <f>18021+M70</f>
        <v>20666.8</v>
      </c>
      <c r="J70" s="18">
        <f>18356.8+N70</f>
        <v>21715.699999999997</v>
      </c>
      <c r="K70" s="18">
        <f>J70</f>
        <v>21715.699999999997</v>
      </c>
      <c r="L70" s="11" t="s">
        <v>47</v>
      </c>
      <c r="M70" s="11">
        <f>2946.4+M95</f>
        <v>2645.8</v>
      </c>
      <c r="N70" s="11">
        <f>3661.7+N95</f>
        <v>3358.8999999999996</v>
      </c>
      <c r="O70" s="11">
        <f>3661.7+O95</f>
        <v>3358.8999999999996</v>
      </c>
    </row>
    <row r="71" spans="1:15" ht="42.75" customHeight="1" collapsed="1">
      <c r="A71" s="180" t="s">
        <v>32</v>
      </c>
      <c r="B71" s="179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5">
      <c r="A72" s="179" t="s">
        <v>54</v>
      </c>
      <c r="B72" s="179"/>
      <c r="C72" s="179"/>
      <c r="D72" s="179"/>
      <c r="E72" s="179"/>
      <c r="F72" s="179"/>
      <c r="G72" s="179"/>
      <c r="H72" s="179"/>
      <c r="I72" s="179"/>
      <c r="J72" s="179"/>
      <c r="K72" s="179"/>
    </row>
    <row r="73" spans="1:15" ht="40.5" customHeight="1">
      <c r="A73" s="32" t="s">
        <v>179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</row>
    <row r="74" spans="1:15" ht="33" customHeight="1">
      <c r="A74" s="80" t="s">
        <v>167</v>
      </c>
      <c r="B74" s="13">
        <v>4</v>
      </c>
      <c r="C74" s="13">
        <v>4</v>
      </c>
      <c r="D74" s="13">
        <v>4</v>
      </c>
      <c r="E74" s="13">
        <v>4</v>
      </c>
      <c r="F74" s="13">
        <v>4</v>
      </c>
      <c r="G74" s="38">
        <v>921.56200000000001</v>
      </c>
      <c r="H74" s="13">
        <v>1190.6310000000001</v>
      </c>
      <c r="I74" s="13">
        <v>1451.3589999999999</v>
      </c>
      <c r="J74" s="13">
        <v>1762.0219999999999</v>
      </c>
      <c r="K74" s="13">
        <v>1762.0219999999999</v>
      </c>
    </row>
    <row r="75" spans="1:15" ht="41.25" customHeight="1">
      <c r="A75" s="32" t="s">
        <v>175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</row>
    <row r="76" spans="1:15" ht="37.5">
      <c r="A76" s="80" t="s">
        <v>127</v>
      </c>
      <c r="B76" s="13">
        <v>37</v>
      </c>
      <c r="C76" s="13">
        <v>37</v>
      </c>
      <c r="D76" s="13">
        <v>37</v>
      </c>
      <c r="E76" s="13">
        <v>37</v>
      </c>
      <c r="F76" s="13">
        <v>38</v>
      </c>
      <c r="G76" s="35">
        <v>211.15600000000001</v>
      </c>
      <c r="H76" s="36">
        <v>270.71199999999999</v>
      </c>
      <c r="I76" s="36">
        <v>121.086</v>
      </c>
      <c r="J76" s="36">
        <v>358.73599999999999</v>
      </c>
      <c r="K76" s="36">
        <v>358.73599999999999</v>
      </c>
    </row>
    <row r="77" spans="1:15" ht="93.75" hidden="1" outlineLevel="1">
      <c r="A77" s="84" t="s">
        <v>33</v>
      </c>
      <c r="B77" s="13">
        <v>511</v>
      </c>
      <c r="C77" s="13">
        <v>500</v>
      </c>
      <c r="D77" s="13">
        <v>503</v>
      </c>
      <c r="E77" s="13">
        <v>500</v>
      </c>
      <c r="F77" s="13">
        <v>500</v>
      </c>
      <c r="G77" s="13">
        <v>1810.8</v>
      </c>
      <c r="H77" s="15">
        <v>1041.3</v>
      </c>
      <c r="I77" s="16">
        <f>1659.9-76.9</f>
        <v>1583</v>
      </c>
      <c r="J77" s="16">
        <f>1664.9-83.2</f>
        <v>1581.7</v>
      </c>
      <c r="K77" s="13">
        <f>J77</f>
        <v>1581.7</v>
      </c>
      <c r="M77" s="11">
        <v>-76.900000000000006</v>
      </c>
      <c r="N77" s="11">
        <v>-83.2</v>
      </c>
      <c r="O77" s="11">
        <v>-83.2</v>
      </c>
    </row>
    <row r="78" spans="1:15" ht="93.75" hidden="1" outlineLevel="1">
      <c r="A78" s="84" t="s">
        <v>34</v>
      </c>
      <c r="B78" s="13">
        <v>210</v>
      </c>
      <c r="C78" s="13">
        <v>204</v>
      </c>
      <c r="D78" s="13">
        <v>209</v>
      </c>
      <c r="E78" s="13">
        <v>209</v>
      </c>
      <c r="F78" s="13">
        <v>209</v>
      </c>
      <c r="G78" s="13">
        <v>5043.5</v>
      </c>
      <c r="H78" s="16">
        <v>2841.7</v>
      </c>
      <c r="I78" s="16">
        <f>2891.6-15.4</f>
        <v>2876.2</v>
      </c>
      <c r="J78" s="16">
        <f>2893.6-15.4</f>
        <v>2878.2</v>
      </c>
      <c r="K78" s="16">
        <f>2893.6-15.4</f>
        <v>2878.2</v>
      </c>
      <c r="M78" s="11">
        <v>-15.4</v>
      </c>
      <c r="N78" s="11">
        <v>-16.600000000000001</v>
      </c>
      <c r="O78" s="11">
        <v>-16.600000000000001</v>
      </c>
    </row>
    <row r="79" spans="1:15" ht="56.25" hidden="1" outlineLevel="1">
      <c r="A79" s="84" t="s">
        <v>35</v>
      </c>
      <c r="B79" s="13">
        <v>405</v>
      </c>
      <c r="C79" s="13">
        <v>383</v>
      </c>
      <c r="D79" s="13">
        <v>383</v>
      </c>
      <c r="E79" s="13">
        <v>383</v>
      </c>
      <c r="F79" s="13">
        <v>383</v>
      </c>
      <c r="G79" s="13"/>
      <c r="H79" s="16">
        <v>1056.5999999999999</v>
      </c>
      <c r="I79" s="16">
        <v>783</v>
      </c>
      <c r="J79" s="16">
        <v>800.4</v>
      </c>
      <c r="K79" s="13">
        <f t="shared" ref="K79:K85" si="1">J79</f>
        <v>800.4</v>
      </c>
    </row>
    <row r="80" spans="1:15" ht="56.25" hidden="1" outlineLevel="1">
      <c r="A80" s="84" t="s">
        <v>36</v>
      </c>
      <c r="B80" s="13">
        <v>657</v>
      </c>
      <c r="C80" s="13">
        <v>566</v>
      </c>
      <c r="D80" s="13">
        <v>572</v>
      </c>
      <c r="E80" s="13">
        <v>572</v>
      </c>
      <c r="F80" s="13">
        <v>572</v>
      </c>
      <c r="G80" s="13"/>
      <c r="H80" s="16">
        <v>1072.3</v>
      </c>
      <c r="I80" s="16">
        <v>1101.7</v>
      </c>
      <c r="J80" s="16">
        <v>922.5</v>
      </c>
      <c r="K80" s="13">
        <f t="shared" si="1"/>
        <v>922.5</v>
      </c>
    </row>
    <row r="81" spans="1:18" ht="75" hidden="1" outlineLevel="1">
      <c r="A81" s="84" t="s">
        <v>12</v>
      </c>
      <c r="B81" s="13">
        <v>592</v>
      </c>
      <c r="C81" s="13">
        <v>588</v>
      </c>
      <c r="D81" s="13">
        <v>589</v>
      </c>
      <c r="E81" s="13">
        <v>590</v>
      </c>
      <c r="F81" s="13">
        <v>590</v>
      </c>
      <c r="G81" s="13">
        <v>37069.5</v>
      </c>
      <c r="H81" s="16">
        <v>6361</v>
      </c>
      <c r="I81" s="16">
        <v>6877.9</v>
      </c>
      <c r="J81" s="16">
        <v>6902.2</v>
      </c>
      <c r="K81" s="13">
        <f t="shared" si="1"/>
        <v>6902.2</v>
      </c>
    </row>
    <row r="82" spans="1:18" ht="56.25" hidden="1" outlineLevel="1">
      <c r="A82" s="84" t="s">
        <v>13</v>
      </c>
      <c r="B82" s="13">
        <v>164</v>
      </c>
      <c r="C82" s="13">
        <v>165</v>
      </c>
      <c r="D82" s="13">
        <v>167</v>
      </c>
      <c r="E82" s="13">
        <v>169</v>
      </c>
      <c r="F82" s="13">
        <v>169</v>
      </c>
      <c r="G82" s="13"/>
      <c r="H82" s="16">
        <v>2528.9</v>
      </c>
      <c r="I82" s="16">
        <v>2745.7</v>
      </c>
      <c r="J82" s="16">
        <v>2664.8</v>
      </c>
      <c r="K82" s="13">
        <f t="shared" si="1"/>
        <v>2664.8</v>
      </c>
    </row>
    <row r="83" spans="1:18" ht="75" hidden="1" outlineLevel="1">
      <c r="A83" s="84" t="s">
        <v>14</v>
      </c>
      <c r="B83" s="13">
        <v>465</v>
      </c>
      <c r="C83" s="13">
        <v>280</v>
      </c>
      <c r="D83" s="13">
        <v>290</v>
      </c>
      <c r="E83" s="13">
        <v>290</v>
      </c>
      <c r="F83" s="13">
        <v>290</v>
      </c>
      <c r="G83" s="13"/>
      <c r="H83" s="16">
        <v>3033.8</v>
      </c>
      <c r="I83" s="16">
        <v>3065.9</v>
      </c>
      <c r="J83" s="16">
        <v>3834.3</v>
      </c>
      <c r="K83" s="13">
        <f t="shared" si="1"/>
        <v>3834.3</v>
      </c>
    </row>
    <row r="84" spans="1:18" ht="75" hidden="1" outlineLevel="1">
      <c r="A84" s="84" t="s">
        <v>15</v>
      </c>
      <c r="B84" s="13">
        <v>220</v>
      </c>
      <c r="C84" s="13">
        <v>220</v>
      </c>
      <c r="D84" s="13">
        <v>220</v>
      </c>
      <c r="E84" s="13">
        <v>220</v>
      </c>
      <c r="F84" s="13">
        <v>220</v>
      </c>
      <c r="G84" s="13"/>
      <c r="H84" s="16">
        <v>950</v>
      </c>
      <c r="I84" s="16">
        <v>600</v>
      </c>
      <c r="J84" s="16">
        <v>700</v>
      </c>
      <c r="K84" s="13">
        <f t="shared" si="1"/>
        <v>700</v>
      </c>
    </row>
    <row r="85" spans="1:18" ht="75" hidden="1" outlineLevel="1">
      <c r="A85" s="84" t="s">
        <v>16</v>
      </c>
      <c r="B85" s="13">
        <v>99</v>
      </c>
      <c r="C85" s="13">
        <v>100</v>
      </c>
      <c r="D85" s="13">
        <v>102</v>
      </c>
      <c r="E85" s="13">
        <v>102</v>
      </c>
      <c r="F85" s="13">
        <v>102</v>
      </c>
      <c r="G85" s="13"/>
      <c r="H85" s="16">
        <v>1654.2</v>
      </c>
      <c r="I85" s="16">
        <v>1799.2</v>
      </c>
      <c r="J85" s="16">
        <v>1911</v>
      </c>
      <c r="K85" s="13">
        <f t="shared" si="1"/>
        <v>1911</v>
      </c>
    </row>
    <row r="86" spans="1:18" ht="56.25" hidden="1" outlineLevel="1">
      <c r="A86" s="84" t="s">
        <v>37</v>
      </c>
      <c r="B86" s="40">
        <f>'[19]дома бюджет'!$E$9</f>
        <v>40</v>
      </c>
      <c r="C86" s="13">
        <v>24</v>
      </c>
      <c r="D86" s="13">
        <v>24</v>
      </c>
      <c r="E86" s="13">
        <v>24</v>
      </c>
      <c r="F86" s="13">
        <v>24</v>
      </c>
      <c r="G86" s="13"/>
      <c r="H86" s="16">
        <v>13619.9</v>
      </c>
      <c r="I86" s="16">
        <f>15511.6+4490.5</f>
        <v>20002.099999999999</v>
      </c>
      <c r="J86" s="16">
        <f>15736.5+5575.4</f>
        <v>21311.9</v>
      </c>
      <c r="K86" s="13">
        <f>J86</f>
        <v>21311.9</v>
      </c>
      <c r="M86" s="11">
        <v>4490.5</v>
      </c>
      <c r="N86" s="11">
        <v>5575.4</v>
      </c>
      <c r="O86" s="11">
        <v>5575.4</v>
      </c>
    </row>
    <row r="87" spans="1:18" ht="56.25" hidden="1" outlineLevel="1">
      <c r="A87" s="85" t="s">
        <v>38</v>
      </c>
      <c r="B87" s="40">
        <f>'[19]дома бюджет'!$E$8</f>
        <v>200</v>
      </c>
      <c r="C87" s="13">
        <f>143+32</f>
        <v>175</v>
      </c>
      <c r="D87" s="13">
        <f>143+32</f>
        <v>175</v>
      </c>
      <c r="E87" s="13">
        <f>143+32</f>
        <v>175</v>
      </c>
      <c r="F87" s="13">
        <f>143+32</f>
        <v>175</v>
      </c>
      <c r="G87" s="13"/>
      <c r="H87" s="16">
        <v>6534.6</v>
      </c>
      <c r="I87" s="16">
        <f>7372.2+1616.8</f>
        <v>8989</v>
      </c>
      <c r="J87" s="16">
        <f>7360.3+1813.9</f>
        <v>9174.2000000000007</v>
      </c>
      <c r="K87" s="13">
        <f>J87</f>
        <v>9174.2000000000007</v>
      </c>
      <c r="M87" s="11">
        <v>1616.8</v>
      </c>
      <c r="N87" s="11">
        <v>1813.9</v>
      </c>
      <c r="O87" s="11">
        <v>1813.9</v>
      </c>
    </row>
    <row r="88" spans="1:18" ht="75" hidden="1" outlineLevel="1">
      <c r="A88" s="84" t="s">
        <v>39</v>
      </c>
      <c r="B88" s="13">
        <v>7</v>
      </c>
      <c r="C88" s="13">
        <v>3</v>
      </c>
      <c r="D88" s="13">
        <v>3</v>
      </c>
      <c r="E88" s="13">
        <v>3</v>
      </c>
      <c r="F88" s="13">
        <v>3</v>
      </c>
      <c r="G88" s="13"/>
      <c r="H88" s="16">
        <v>149.69999999999999</v>
      </c>
      <c r="I88" s="16">
        <v>148.69999999999999</v>
      </c>
      <c r="J88" s="16">
        <v>192.1</v>
      </c>
      <c r="K88" s="13">
        <f>J88</f>
        <v>192.1</v>
      </c>
    </row>
    <row r="89" spans="1:18" ht="75" hidden="1" outlineLevel="1">
      <c r="A89" s="84" t="s">
        <v>40</v>
      </c>
      <c r="B89" s="13">
        <v>50</v>
      </c>
      <c r="C89" s="13">
        <v>51</v>
      </c>
      <c r="D89" s="13">
        <v>42</v>
      </c>
      <c r="E89" s="13">
        <v>43</v>
      </c>
      <c r="F89" s="13">
        <v>43</v>
      </c>
      <c r="G89" s="13">
        <v>121452</v>
      </c>
      <c r="H89" s="16">
        <v>66545.8</v>
      </c>
      <c r="I89" s="16">
        <f>106758.5-3758.1+6088.3</f>
        <v>109088.7</v>
      </c>
      <c r="J89" s="16">
        <f>99805.4-4060.3-41343</f>
        <v>54402.099999999991</v>
      </c>
      <c r="K89" s="13">
        <f>99805.4-4684.2+7684.9</f>
        <v>102806.09999999999</v>
      </c>
      <c r="M89" s="11">
        <v>-3758.1</v>
      </c>
      <c r="N89" s="11">
        <v>-4060.3</v>
      </c>
      <c r="O89" s="11">
        <v>-4684.2</v>
      </c>
      <c r="P89" s="11">
        <v>6088.3</v>
      </c>
      <c r="Q89" s="11">
        <v>-41342.6</v>
      </c>
      <c r="R89" s="11">
        <v>7684.9</v>
      </c>
    </row>
    <row r="90" spans="1:18" ht="75" hidden="1" outlineLevel="1">
      <c r="A90" s="84" t="s">
        <v>41</v>
      </c>
      <c r="B90" s="40">
        <f>'[19]дома бюджет'!$E$7</f>
        <v>53</v>
      </c>
      <c r="C90" s="13">
        <v>51</v>
      </c>
      <c r="D90" s="13">
        <v>51</v>
      </c>
      <c r="E90" s="13">
        <v>51</v>
      </c>
      <c r="F90" s="13">
        <v>51</v>
      </c>
      <c r="G90" s="13">
        <v>38641.800000000003</v>
      </c>
      <c r="H90" s="16">
        <v>32244.3</v>
      </c>
      <c r="I90" s="16">
        <f>32337.5-1379.2</f>
        <v>30958.3</v>
      </c>
      <c r="J90" s="16">
        <f>31818.2-1379.2</f>
        <v>30439</v>
      </c>
      <c r="K90" s="13">
        <f>J90</f>
        <v>30439</v>
      </c>
      <c r="M90" s="11">
        <v>-1379.2</v>
      </c>
      <c r="N90" s="11">
        <v>-1379.2</v>
      </c>
      <c r="O90" s="11">
        <v>-1379.2</v>
      </c>
    </row>
    <row r="91" spans="1:18" ht="75" hidden="1" outlineLevel="1">
      <c r="A91" s="84" t="s">
        <v>42</v>
      </c>
      <c r="B91" s="13">
        <v>1</v>
      </c>
      <c r="C91" s="13">
        <v>1</v>
      </c>
      <c r="D91" s="13"/>
      <c r="E91" s="13"/>
      <c r="F91" s="13"/>
      <c r="G91" s="13">
        <v>2042.6</v>
      </c>
      <c r="H91" s="16">
        <v>2369.6</v>
      </c>
      <c r="I91" s="16"/>
      <c r="J91" s="16"/>
      <c r="K91" s="13"/>
    </row>
    <row r="92" spans="1:18" ht="56.25" hidden="1" outlineLevel="1">
      <c r="A92" s="84" t="s">
        <v>51</v>
      </c>
      <c r="B92" s="13"/>
      <c r="C92" s="13"/>
      <c r="D92" s="13">
        <v>1</v>
      </c>
      <c r="E92" s="13">
        <v>1</v>
      </c>
      <c r="F92" s="13">
        <v>1</v>
      </c>
      <c r="G92" s="13"/>
      <c r="H92" s="16"/>
      <c r="I92" s="15">
        <v>2309</v>
      </c>
      <c r="J92" s="15">
        <v>2472.9</v>
      </c>
      <c r="K92" s="41">
        <v>2472.9</v>
      </c>
    </row>
    <row r="93" spans="1:18" ht="75" hidden="1" outlineLevel="1">
      <c r="A93" s="84" t="s">
        <v>43</v>
      </c>
      <c r="B93" s="13">
        <v>2</v>
      </c>
      <c r="C93" s="13">
        <v>1</v>
      </c>
      <c r="D93" s="13">
        <v>2</v>
      </c>
      <c r="E93" s="13">
        <v>2</v>
      </c>
      <c r="F93" s="13">
        <v>2</v>
      </c>
      <c r="G93" s="13"/>
      <c r="H93" s="16">
        <v>7390.9</v>
      </c>
      <c r="I93" s="16">
        <f>12979.8-736.6</f>
        <v>12243.199999999999</v>
      </c>
      <c r="J93" s="16">
        <f>13719.4-774.5</f>
        <v>12944.9</v>
      </c>
      <c r="K93" s="13">
        <f>J93</f>
        <v>12944.9</v>
      </c>
      <c r="M93" s="11">
        <v>-736.6</v>
      </c>
      <c r="N93" s="11">
        <v>-774.5</v>
      </c>
      <c r="O93" s="11">
        <v>-774.5</v>
      </c>
    </row>
    <row r="94" spans="1:18" ht="56.25" hidden="1" outlineLevel="1">
      <c r="A94" s="84" t="s">
        <v>44</v>
      </c>
      <c r="B94" s="13">
        <v>1</v>
      </c>
      <c r="C94" s="13">
        <v>1</v>
      </c>
      <c r="D94" s="13">
        <v>1</v>
      </c>
      <c r="E94" s="13">
        <v>1</v>
      </c>
      <c r="F94" s="13">
        <v>1</v>
      </c>
      <c r="G94" s="13">
        <v>477.3</v>
      </c>
      <c r="H94" s="16">
        <v>644.70000000000005</v>
      </c>
      <c r="I94" s="16">
        <f>644.7-25.7</f>
        <v>619</v>
      </c>
      <c r="J94" s="16">
        <f>555.1-27.8</f>
        <v>527.30000000000007</v>
      </c>
      <c r="K94" s="13">
        <f>J94</f>
        <v>527.30000000000007</v>
      </c>
      <c r="M94" s="11">
        <v>-25.7</v>
      </c>
      <c r="N94" s="11">
        <v>-27.8</v>
      </c>
      <c r="O94" s="11">
        <v>-27.8</v>
      </c>
    </row>
    <row r="95" spans="1:18" ht="56.25" hidden="1" outlineLevel="1">
      <c r="A95" s="84" t="s">
        <v>45</v>
      </c>
      <c r="B95" s="13">
        <v>2</v>
      </c>
      <c r="C95" s="13">
        <v>2</v>
      </c>
      <c r="D95" s="13">
        <v>2</v>
      </c>
      <c r="E95" s="13">
        <v>2</v>
      </c>
      <c r="F95" s="13">
        <v>2</v>
      </c>
      <c r="G95" s="13">
        <v>6000</v>
      </c>
      <c r="H95" s="16">
        <v>4777.3999999999996</v>
      </c>
      <c r="I95" s="16">
        <f>6085.6-300.6</f>
        <v>5785</v>
      </c>
      <c r="J95" s="16">
        <f>6034.2-302.8</f>
        <v>5731.4</v>
      </c>
      <c r="K95" s="13">
        <f>J95</f>
        <v>5731.4</v>
      </c>
      <c r="M95" s="11">
        <v>-300.60000000000002</v>
      </c>
      <c r="N95" s="11">
        <v>-302.8</v>
      </c>
      <c r="O95" s="11">
        <v>-302.8</v>
      </c>
    </row>
    <row r="96" spans="1:18" ht="55.5" customHeight="1" outlineLevel="1">
      <c r="A96" s="181" t="s">
        <v>180</v>
      </c>
      <c r="B96" s="182"/>
      <c r="C96" s="182"/>
      <c r="D96" s="182"/>
      <c r="E96" s="182"/>
      <c r="F96" s="182"/>
      <c r="G96" s="182"/>
      <c r="H96" s="182"/>
      <c r="I96" s="182"/>
      <c r="J96" s="182"/>
      <c r="K96" s="183"/>
    </row>
    <row r="97" spans="1:12" outlineLevel="1">
      <c r="A97" s="179" t="s">
        <v>181</v>
      </c>
      <c r="B97" s="179"/>
      <c r="C97" s="179"/>
      <c r="D97" s="179"/>
      <c r="E97" s="179"/>
      <c r="F97" s="179"/>
      <c r="G97" s="179"/>
      <c r="H97" s="179"/>
      <c r="I97" s="179"/>
      <c r="J97" s="179"/>
      <c r="K97" s="179"/>
    </row>
    <row r="98" spans="1:12" ht="37.5" outlineLevel="1">
      <c r="A98" s="32" t="s">
        <v>179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</row>
    <row r="99" spans="1:12" ht="37.5" outlineLevel="1">
      <c r="A99" s="80" t="s">
        <v>168</v>
      </c>
      <c r="B99" s="13">
        <v>5</v>
      </c>
      <c r="C99" s="13">
        <v>5</v>
      </c>
      <c r="D99" s="13">
        <v>5</v>
      </c>
      <c r="E99" s="13">
        <v>5</v>
      </c>
      <c r="F99" s="13">
        <v>5</v>
      </c>
      <c r="G99" s="38">
        <v>241.88900000000001</v>
      </c>
      <c r="H99" s="13">
        <v>290.20800000000003</v>
      </c>
      <c r="I99" s="13">
        <v>249.631</v>
      </c>
      <c r="J99" s="13">
        <v>377.95600000000002</v>
      </c>
      <c r="K99" s="13">
        <v>377.95600000000002</v>
      </c>
    </row>
    <row r="100" spans="1:12">
      <c r="A100" s="180" t="s">
        <v>48</v>
      </c>
      <c r="B100" s="179"/>
      <c r="C100" s="179"/>
      <c r="D100" s="179"/>
      <c r="E100" s="179"/>
      <c r="F100" s="179"/>
      <c r="G100" s="179"/>
      <c r="H100" s="179"/>
      <c r="I100" s="179"/>
      <c r="J100" s="179"/>
      <c r="K100" s="179"/>
    </row>
    <row r="101" spans="1:12" ht="33" customHeight="1">
      <c r="A101" s="184" t="s">
        <v>172</v>
      </c>
      <c r="B101" s="185"/>
      <c r="C101" s="185"/>
      <c r="D101" s="185"/>
      <c r="E101" s="185"/>
      <c r="F101" s="185"/>
      <c r="G101" s="185"/>
      <c r="H101" s="185"/>
      <c r="I101" s="185"/>
      <c r="J101" s="185"/>
      <c r="K101" s="186"/>
    </row>
    <row r="102" spans="1:12" ht="39" customHeight="1">
      <c r="A102" s="32" t="s">
        <v>176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</row>
    <row r="103" spans="1:12" ht="37.5">
      <c r="A103" s="80" t="s">
        <v>167</v>
      </c>
      <c r="B103" s="13">
        <v>190</v>
      </c>
      <c r="C103" s="13">
        <v>190</v>
      </c>
      <c r="D103" s="13">
        <v>190</v>
      </c>
      <c r="E103" s="13">
        <v>190</v>
      </c>
      <c r="F103" s="13">
        <v>190</v>
      </c>
      <c r="G103" s="35">
        <v>1153.048</v>
      </c>
      <c r="H103" s="35">
        <v>1488.289</v>
      </c>
      <c r="I103" s="35">
        <v>1856.134</v>
      </c>
      <c r="J103" s="35">
        <v>1834.134</v>
      </c>
      <c r="K103" s="35">
        <v>1834.134</v>
      </c>
    </row>
    <row r="104" spans="1:12" ht="93.75" hidden="1" outlineLevel="1">
      <c r="A104" s="84" t="s">
        <v>33</v>
      </c>
      <c r="B104" s="13">
        <v>39</v>
      </c>
      <c r="C104" s="13">
        <v>39</v>
      </c>
      <c r="D104" s="13">
        <v>39</v>
      </c>
      <c r="E104" s="13">
        <v>39</v>
      </c>
      <c r="F104" s="13">
        <v>39</v>
      </c>
      <c r="G104" s="13">
        <v>2950.3</v>
      </c>
      <c r="H104" s="13">
        <v>5413.8</v>
      </c>
      <c r="I104" s="13">
        <v>6013.4</v>
      </c>
      <c r="J104" s="13">
        <v>5753.9</v>
      </c>
      <c r="K104" s="13">
        <f>J104</f>
        <v>5753.9</v>
      </c>
    </row>
    <row r="105" spans="1:12" ht="56.25" hidden="1" outlineLevel="1">
      <c r="A105" s="84" t="s">
        <v>35</v>
      </c>
      <c r="B105" s="13">
        <v>26</v>
      </c>
      <c r="C105" s="13">
        <v>18</v>
      </c>
      <c r="D105" s="13">
        <v>18</v>
      </c>
      <c r="E105" s="13">
        <v>18</v>
      </c>
      <c r="F105" s="13">
        <v>18</v>
      </c>
      <c r="G105" s="13">
        <v>3456.5</v>
      </c>
      <c r="H105" s="13">
        <v>1664.2</v>
      </c>
      <c r="I105" s="13">
        <v>1715.2</v>
      </c>
      <c r="J105" s="13">
        <v>1718.7</v>
      </c>
      <c r="K105" s="13">
        <f t="shared" ref="K105:K111" si="2">J105</f>
        <v>1718.7</v>
      </c>
    </row>
    <row r="106" spans="1:12" ht="56.25" hidden="1" outlineLevel="1">
      <c r="A106" s="84" t="s">
        <v>36</v>
      </c>
      <c r="B106" s="13">
        <v>28</v>
      </c>
      <c r="C106" s="13">
        <v>19</v>
      </c>
      <c r="D106" s="13">
        <v>19</v>
      </c>
      <c r="E106" s="13">
        <v>19</v>
      </c>
      <c r="F106" s="13">
        <v>19</v>
      </c>
      <c r="G106" s="13"/>
      <c r="H106" s="13">
        <v>1893.7</v>
      </c>
      <c r="I106" s="13">
        <v>1888.9</v>
      </c>
      <c r="J106" s="13">
        <v>1909</v>
      </c>
      <c r="K106" s="13">
        <f t="shared" si="2"/>
        <v>1909</v>
      </c>
    </row>
    <row r="107" spans="1:12" ht="93.75" hidden="1" outlineLevel="1">
      <c r="A107" s="84" t="s">
        <v>34</v>
      </c>
      <c r="B107" s="13">
        <v>6</v>
      </c>
      <c r="C107" s="13">
        <v>5</v>
      </c>
      <c r="D107" s="13">
        <v>5</v>
      </c>
      <c r="E107" s="13">
        <v>5</v>
      </c>
      <c r="F107" s="13">
        <v>5</v>
      </c>
      <c r="G107" s="13"/>
      <c r="H107" s="13">
        <v>701.1</v>
      </c>
      <c r="I107" s="13">
        <v>728.6</v>
      </c>
      <c r="J107" s="13">
        <v>728.6</v>
      </c>
      <c r="K107" s="13">
        <f t="shared" si="2"/>
        <v>728.6</v>
      </c>
      <c r="L107" s="11" t="s">
        <v>59</v>
      </c>
    </row>
    <row r="108" spans="1:12" ht="75" hidden="1" outlineLevel="1">
      <c r="A108" s="84" t="s">
        <v>12</v>
      </c>
      <c r="B108" s="13">
        <v>146</v>
      </c>
      <c r="C108" s="13">
        <v>90</v>
      </c>
      <c r="D108" s="13">
        <v>90</v>
      </c>
      <c r="E108" s="13">
        <v>90</v>
      </c>
      <c r="F108" s="13">
        <v>90</v>
      </c>
      <c r="G108" s="13">
        <v>3666.5</v>
      </c>
      <c r="H108" s="13">
        <v>8270.4</v>
      </c>
      <c r="I108" s="13">
        <v>8783.1</v>
      </c>
      <c r="J108" s="13">
        <v>8795.1</v>
      </c>
      <c r="K108" s="13">
        <f t="shared" si="2"/>
        <v>8795.1</v>
      </c>
    </row>
    <row r="109" spans="1:12" ht="56.25" hidden="1" outlineLevel="1">
      <c r="A109" s="84" t="s">
        <v>13</v>
      </c>
      <c r="B109" s="13">
        <v>3</v>
      </c>
      <c r="C109" s="13">
        <v>4</v>
      </c>
      <c r="D109" s="13">
        <v>4</v>
      </c>
      <c r="E109" s="13">
        <v>4</v>
      </c>
      <c r="F109" s="13">
        <v>4</v>
      </c>
      <c r="G109" s="13"/>
      <c r="H109" s="13">
        <v>339</v>
      </c>
      <c r="I109" s="13">
        <v>361.3</v>
      </c>
      <c r="J109" s="13">
        <v>387.1</v>
      </c>
      <c r="K109" s="13">
        <f t="shared" si="2"/>
        <v>387.1</v>
      </c>
    </row>
    <row r="110" spans="1:12" ht="75" hidden="1" outlineLevel="1">
      <c r="A110" s="84" t="s">
        <v>14</v>
      </c>
      <c r="B110" s="13">
        <v>210</v>
      </c>
      <c r="C110" s="13">
        <v>120</v>
      </c>
      <c r="D110" s="13">
        <v>120</v>
      </c>
      <c r="E110" s="13">
        <v>120</v>
      </c>
      <c r="F110" s="13">
        <v>120</v>
      </c>
      <c r="G110" s="13"/>
      <c r="H110" s="13">
        <v>125.5</v>
      </c>
      <c r="I110" s="13">
        <v>56.8</v>
      </c>
      <c r="J110" s="13">
        <v>156.9</v>
      </c>
      <c r="K110" s="13">
        <f t="shared" si="2"/>
        <v>156.9</v>
      </c>
    </row>
    <row r="111" spans="1:12" ht="75" hidden="1" outlineLevel="1">
      <c r="A111" s="84" t="s">
        <v>15</v>
      </c>
      <c r="B111" s="13">
        <v>16</v>
      </c>
      <c r="C111" s="13">
        <v>8</v>
      </c>
      <c r="D111" s="13">
        <v>8</v>
      </c>
      <c r="E111" s="13">
        <v>8</v>
      </c>
      <c r="F111" s="13">
        <v>8</v>
      </c>
      <c r="G111" s="13"/>
      <c r="H111" s="13">
        <v>712.4</v>
      </c>
      <c r="I111" s="13">
        <v>736.8</v>
      </c>
      <c r="J111" s="13">
        <v>736.8</v>
      </c>
      <c r="K111" s="13">
        <f t="shared" si="2"/>
        <v>736.8</v>
      </c>
    </row>
    <row r="112" spans="1:12" ht="75" hidden="1" outlineLevel="1">
      <c r="A112" s="84" t="s">
        <v>16</v>
      </c>
      <c r="B112" s="13">
        <v>10</v>
      </c>
      <c r="C112" s="13">
        <v>13</v>
      </c>
      <c r="D112" s="13">
        <v>14</v>
      </c>
      <c r="E112" s="13">
        <v>15</v>
      </c>
      <c r="F112" s="13">
        <v>15</v>
      </c>
      <c r="G112" s="13"/>
      <c r="H112" s="13">
        <v>113</v>
      </c>
      <c r="I112" s="13">
        <v>113</v>
      </c>
      <c r="J112" s="13">
        <v>183</v>
      </c>
      <c r="K112" s="13">
        <f>J112</f>
        <v>183</v>
      </c>
    </row>
    <row r="113" spans="1:15" ht="37.5" outlineLevel="1">
      <c r="A113" s="80" t="s">
        <v>173</v>
      </c>
      <c r="B113" s="13">
        <v>4</v>
      </c>
      <c r="C113" s="13">
        <v>5</v>
      </c>
      <c r="D113" s="13">
        <v>5</v>
      </c>
      <c r="E113" s="13">
        <v>5</v>
      </c>
      <c r="F113" s="13">
        <v>5</v>
      </c>
      <c r="G113" s="38">
        <v>79.697999999999993</v>
      </c>
      <c r="H113" s="38">
        <v>95.617999999999995</v>
      </c>
      <c r="I113" s="38">
        <v>141.28</v>
      </c>
      <c r="J113" s="38">
        <v>122.69</v>
      </c>
      <c r="K113" s="38">
        <f>J113</f>
        <v>122.69</v>
      </c>
    </row>
    <row r="114" spans="1:15" ht="37.5" customHeight="1">
      <c r="A114" s="32" t="s">
        <v>175</v>
      </c>
      <c r="B114" s="13"/>
      <c r="C114" s="13"/>
      <c r="D114" s="13"/>
      <c r="E114" s="13"/>
      <c r="F114" s="13"/>
      <c r="G114" s="13"/>
      <c r="H114" s="13"/>
      <c r="I114" s="13"/>
      <c r="J114" s="13"/>
      <c r="K114" s="13"/>
    </row>
    <row r="115" spans="1:15" ht="43.5" customHeight="1">
      <c r="A115" s="80" t="s">
        <v>122</v>
      </c>
      <c r="B115" s="13">
        <v>12</v>
      </c>
      <c r="C115" s="13">
        <v>12</v>
      </c>
      <c r="D115" s="13">
        <v>12</v>
      </c>
      <c r="E115" s="13">
        <v>12</v>
      </c>
      <c r="F115" s="13">
        <v>12</v>
      </c>
      <c r="G115" s="35">
        <v>660.42700000000002</v>
      </c>
      <c r="H115" s="35">
        <v>698.86500000000001</v>
      </c>
      <c r="I115" s="35">
        <v>955.84500000000003</v>
      </c>
      <c r="J115" s="35">
        <v>820.29300000000001</v>
      </c>
      <c r="K115" s="35">
        <v>820.29300000000001</v>
      </c>
    </row>
    <row r="116" spans="1:15" ht="56.25" hidden="1" outlineLevel="1">
      <c r="A116" s="84" t="s">
        <v>45</v>
      </c>
      <c r="B116" s="13">
        <v>5</v>
      </c>
      <c r="C116" s="13">
        <v>3</v>
      </c>
      <c r="D116" s="13">
        <v>3</v>
      </c>
      <c r="E116" s="13">
        <v>3</v>
      </c>
      <c r="F116" s="13">
        <v>3</v>
      </c>
      <c r="G116" s="13">
        <v>108.5</v>
      </c>
      <c r="H116" s="13">
        <v>76.099999999999994</v>
      </c>
      <c r="I116" s="13">
        <v>96.9</v>
      </c>
      <c r="J116" s="13">
        <v>100.8</v>
      </c>
      <c r="K116" s="13">
        <f>J116</f>
        <v>100.8</v>
      </c>
    </row>
    <row r="117" spans="1:15" ht="56.25" hidden="1" outlineLevel="1">
      <c r="A117" s="84" t="s">
        <v>37</v>
      </c>
      <c r="B117" s="13">
        <v>30</v>
      </c>
      <c r="C117" s="13">
        <v>35</v>
      </c>
      <c r="D117" s="13">
        <v>35</v>
      </c>
      <c r="E117" s="13">
        <v>35</v>
      </c>
      <c r="F117" s="13">
        <v>35</v>
      </c>
      <c r="G117" s="13"/>
      <c r="H117" s="13">
        <v>3746.9</v>
      </c>
      <c r="I117" s="13">
        <v>4298.8999999999996</v>
      </c>
      <c r="J117" s="13">
        <v>4352.2</v>
      </c>
      <c r="K117" s="13">
        <f t="shared" ref="K117:K122" si="3">J117</f>
        <v>4352.2</v>
      </c>
    </row>
    <row r="118" spans="1:15" hidden="1" outlineLevel="1">
      <c r="A118" s="84" t="s">
        <v>52</v>
      </c>
      <c r="B118" s="13"/>
      <c r="C118" s="13">
        <v>1</v>
      </c>
      <c r="D118" s="13">
        <v>3</v>
      </c>
      <c r="E118" s="13">
        <v>6</v>
      </c>
      <c r="F118" s="13">
        <v>6</v>
      </c>
      <c r="G118" s="13"/>
      <c r="H118" s="13"/>
      <c r="I118" s="41">
        <v>16495</v>
      </c>
      <c r="J118" s="13">
        <v>17261.7</v>
      </c>
      <c r="K118" s="13">
        <f>J118</f>
        <v>17261.7</v>
      </c>
    </row>
    <row r="119" spans="1:15" hidden="1" outlineLevel="1">
      <c r="A119" s="84" t="s">
        <v>53</v>
      </c>
      <c r="B119" s="13"/>
      <c r="C119" s="13"/>
      <c r="D119" s="13">
        <v>5</v>
      </c>
      <c r="E119" s="13">
        <v>5</v>
      </c>
      <c r="F119" s="13">
        <v>5</v>
      </c>
      <c r="G119" s="13"/>
      <c r="H119" s="13"/>
      <c r="I119" s="41">
        <v>25896.799999999999</v>
      </c>
      <c r="J119" s="13">
        <v>26878.6</v>
      </c>
      <c r="K119" s="13">
        <f>J119</f>
        <v>26878.6</v>
      </c>
    </row>
    <row r="120" spans="1:15" ht="56.25" hidden="1" outlineLevel="1">
      <c r="A120" s="85" t="s">
        <v>38</v>
      </c>
      <c r="B120" s="13">
        <v>10</v>
      </c>
      <c r="C120" s="13">
        <v>6</v>
      </c>
      <c r="D120" s="13">
        <v>6</v>
      </c>
      <c r="E120" s="13">
        <v>6</v>
      </c>
      <c r="F120" s="13">
        <v>6</v>
      </c>
      <c r="G120" s="13"/>
      <c r="H120" s="13">
        <v>610</v>
      </c>
      <c r="I120" s="13">
        <v>210</v>
      </c>
      <c r="J120" s="13">
        <v>210</v>
      </c>
      <c r="K120" s="13">
        <f t="shared" si="3"/>
        <v>210</v>
      </c>
    </row>
    <row r="121" spans="1:15" ht="75" hidden="1" outlineLevel="1">
      <c r="A121" s="84" t="s">
        <v>41</v>
      </c>
      <c r="B121" s="13">
        <v>69</v>
      </c>
      <c r="C121" s="13">
        <v>45</v>
      </c>
      <c r="D121" s="13">
        <v>45</v>
      </c>
      <c r="E121" s="13">
        <v>45</v>
      </c>
      <c r="F121" s="13">
        <v>45</v>
      </c>
      <c r="G121" s="13">
        <v>10159.700000000001</v>
      </c>
      <c r="H121" s="13">
        <v>15063.8</v>
      </c>
      <c r="I121" s="13">
        <f>15769.5+3436.4</f>
        <v>19205.900000000001</v>
      </c>
      <c r="J121" s="13">
        <f>16530.1+4160.5</f>
        <v>20690.599999999999</v>
      </c>
      <c r="K121" s="13">
        <f t="shared" si="3"/>
        <v>20690.599999999999</v>
      </c>
      <c r="M121" s="11">
        <v>3436.4</v>
      </c>
      <c r="N121" s="11">
        <v>4160.5</v>
      </c>
      <c r="O121" s="11">
        <v>4160.5</v>
      </c>
    </row>
    <row r="122" spans="1:15" ht="75" hidden="1" outlineLevel="1">
      <c r="A122" s="84" t="s">
        <v>39</v>
      </c>
      <c r="B122" s="13">
        <v>6</v>
      </c>
      <c r="C122" s="13">
        <v>6</v>
      </c>
      <c r="D122" s="13">
        <v>6</v>
      </c>
      <c r="E122" s="13">
        <v>6</v>
      </c>
      <c r="F122" s="13">
        <v>6</v>
      </c>
      <c r="G122" s="13">
        <v>350</v>
      </c>
      <c r="H122" s="13">
        <v>324.10000000000002</v>
      </c>
      <c r="I122" s="13">
        <v>323</v>
      </c>
      <c r="J122" s="13">
        <v>311.39999999999998</v>
      </c>
      <c r="K122" s="13">
        <f t="shared" si="3"/>
        <v>311.39999999999998</v>
      </c>
    </row>
    <row r="123" spans="1:15" ht="112.5" hidden="1" outlineLevel="1">
      <c r="A123" s="86" t="s">
        <v>49</v>
      </c>
      <c r="B123" s="13">
        <v>20</v>
      </c>
      <c r="C123" s="13">
        <v>25</v>
      </c>
      <c r="D123" s="13">
        <v>27</v>
      </c>
      <c r="E123" s="13">
        <v>28</v>
      </c>
      <c r="F123" s="13">
        <v>28</v>
      </c>
      <c r="G123" s="13">
        <v>2453.3000000000002</v>
      </c>
      <c r="H123" s="13">
        <v>6323.2</v>
      </c>
      <c r="I123" s="13">
        <f>6947.6</f>
        <v>6947.6</v>
      </c>
      <c r="J123" s="13">
        <f>6968.4</f>
        <v>6968.4</v>
      </c>
      <c r="K123" s="13">
        <f>6968.4</f>
        <v>6968.4</v>
      </c>
      <c r="L123" s="11" t="s">
        <v>50</v>
      </c>
      <c r="M123" s="11">
        <v>2440</v>
      </c>
      <c r="N123" s="11">
        <v>2140</v>
      </c>
      <c r="O123" s="11">
        <v>0</v>
      </c>
    </row>
    <row r="124" spans="1:15" collapsed="1">
      <c r="A124" s="87"/>
      <c r="B124" s="23"/>
      <c r="C124" s="23"/>
      <c r="D124" s="23"/>
      <c r="E124" s="23"/>
      <c r="F124" s="23"/>
      <c r="G124" s="23"/>
      <c r="H124" s="23"/>
      <c r="I124" s="23"/>
      <c r="J124" s="23"/>
      <c r="K124" s="23"/>
    </row>
    <row r="125" spans="1:15" ht="17.25" customHeight="1">
      <c r="A125" s="33"/>
      <c r="B125" s="23"/>
      <c r="C125" s="23"/>
      <c r="D125" s="23"/>
      <c r="E125" s="23"/>
      <c r="F125" s="23"/>
      <c r="G125" s="23"/>
      <c r="H125" s="24"/>
      <c r="I125" s="24"/>
      <c r="J125" s="24"/>
      <c r="K125" s="24"/>
    </row>
    <row r="126" spans="1:15" s="26" customFormat="1" ht="37.5" customHeight="1">
      <c r="A126" s="161"/>
      <c r="B126" s="161"/>
      <c r="C126" s="161"/>
      <c r="D126" s="161"/>
      <c r="E126" s="25"/>
    </row>
    <row r="127" spans="1:15" ht="37.5" customHeight="1"/>
    <row r="128" spans="1:15" ht="37.5" customHeight="1">
      <c r="I128" s="17"/>
    </row>
    <row r="129" ht="37.5" customHeight="1"/>
    <row r="130" ht="37.5" customHeight="1"/>
    <row r="131" ht="37.5" customHeight="1"/>
    <row r="132" ht="37.5" customHeight="1"/>
    <row r="133" ht="37.5" customHeight="1"/>
    <row r="134" ht="37.5" customHeight="1"/>
  </sheetData>
  <mergeCells count="30">
    <mergeCell ref="A101:K101"/>
    <mergeCell ref="A29:K29"/>
    <mergeCell ref="A34:K34"/>
    <mergeCell ref="A35:K35"/>
    <mergeCell ref="A71:K71"/>
    <mergeCell ref="A72:K72"/>
    <mergeCell ref="F1:K1"/>
    <mergeCell ref="A6:K6"/>
    <mergeCell ref="A7:K7"/>
    <mergeCell ref="A12:K12"/>
    <mergeCell ref="A2:K2"/>
    <mergeCell ref="A4:A5"/>
    <mergeCell ref="B4:F4"/>
    <mergeCell ref="G4:K4"/>
    <mergeCell ref="A13:K13"/>
    <mergeCell ref="A100:K100"/>
    <mergeCell ref="A21:K21"/>
    <mergeCell ref="A22:K22"/>
    <mergeCell ref="A97:K97"/>
    <mergeCell ref="A28:K28"/>
    <mergeCell ref="A126:D126"/>
    <mergeCell ref="A42:K42"/>
    <mergeCell ref="A43:K43"/>
    <mergeCell ref="A48:K48"/>
    <mergeCell ref="A49:K49"/>
    <mergeCell ref="A54:K54"/>
    <mergeCell ref="A55:K55"/>
    <mergeCell ref="A61:K61"/>
    <mergeCell ref="A62:K62"/>
    <mergeCell ref="A96:K96"/>
  </mergeCells>
  <phoneticPr fontId="0" type="noConversion"/>
  <pageMargins left="0.47" right="0.31" top="0.31" bottom="0.31" header="0.3" footer="0.31496062992125984"/>
  <pageSetup paperSize="9" scale="80" fitToHeight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28"/>
  <sheetViews>
    <sheetView view="pageBreakPreview" zoomScaleNormal="100" zoomScaleSheetLayoutView="80" workbookViewId="0">
      <selection activeCell="A2" sqref="A2:N2"/>
    </sheetView>
  </sheetViews>
  <sheetFormatPr defaultRowHeight="15.75"/>
  <cols>
    <col min="1" max="1" width="7.7109375" style="27" customWidth="1"/>
    <col min="2" max="2" width="30.85546875" style="6" customWidth="1"/>
    <col min="3" max="3" width="16.140625" style="6" customWidth="1"/>
    <col min="4" max="5" width="9.140625" style="6"/>
    <col min="6" max="6" width="4.5703125" style="6" customWidth="1"/>
    <col min="7" max="7" width="2.42578125" style="6" customWidth="1"/>
    <col min="8" max="8" width="6.85546875" style="6" customWidth="1"/>
    <col min="9" max="9" width="9.140625" style="6"/>
    <col min="10" max="10" width="18" style="6" customWidth="1"/>
    <col min="11" max="11" width="17.5703125" style="6" customWidth="1"/>
    <col min="12" max="12" width="16.85546875" style="6" customWidth="1"/>
    <col min="13" max="13" width="17.140625" style="6" customWidth="1"/>
    <col min="14" max="14" width="26.28515625" style="6" customWidth="1"/>
    <col min="15" max="15" width="10.42578125" style="6" bestFit="1" customWidth="1"/>
    <col min="16" max="16384" width="9.140625" style="6"/>
  </cols>
  <sheetData>
    <row r="1" spans="1:15" ht="185.25" customHeight="1">
      <c r="A1" s="105"/>
      <c r="B1" s="106"/>
      <c r="C1" s="106"/>
      <c r="D1" s="106"/>
      <c r="E1" s="193"/>
      <c r="F1" s="194"/>
      <c r="G1" s="194"/>
      <c r="H1" s="106"/>
      <c r="I1" s="106"/>
      <c r="J1" s="106"/>
      <c r="K1" s="106"/>
      <c r="L1" s="195" t="s">
        <v>242</v>
      </c>
      <c r="M1" s="195"/>
      <c r="N1" s="195"/>
      <c r="O1" s="1"/>
    </row>
    <row r="2" spans="1:15" ht="39" customHeight="1">
      <c r="A2" s="196" t="s">
        <v>64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5" ht="18.75">
      <c r="A3" s="30"/>
      <c r="B3" s="26"/>
      <c r="C3" s="26"/>
      <c r="D3" s="26"/>
      <c r="E3" s="88"/>
      <c r="F3" s="89" t="s">
        <v>97</v>
      </c>
      <c r="G3" s="88">
        <v>4</v>
      </c>
      <c r="H3" s="88"/>
      <c r="I3" s="26"/>
      <c r="J3" s="26"/>
      <c r="K3" s="26"/>
      <c r="L3" s="26"/>
      <c r="M3" s="26"/>
      <c r="N3" s="26"/>
    </row>
    <row r="4" spans="1:15" ht="18" customHeight="1">
      <c r="A4" s="197" t="s">
        <v>69</v>
      </c>
      <c r="B4" s="174" t="s">
        <v>70</v>
      </c>
      <c r="C4" s="170" t="s">
        <v>71</v>
      </c>
      <c r="D4" s="170" t="s">
        <v>72</v>
      </c>
      <c r="E4" s="170"/>
      <c r="F4" s="170"/>
      <c r="G4" s="170"/>
      <c r="H4" s="170"/>
      <c r="I4" s="170"/>
      <c r="J4" s="198" t="s">
        <v>73</v>
      </c>
      <c r="K4" s="199"/>
      <c r="L4" s="199"/>
      <c r="M4" s="200"/>
      <c r="N4" s="170" t="s">
        <v>74</v>
      </c>
    </row>
    <row r="5" spans="1:15" ht="83.25" customHeight="1">
      <c r="A5" s="197"/>
      <c r="B5" s="176"/>
      <c r="C5" s="170"/>
      <c r="D5" s="63" t="s">
        <v>75</v>
      </c>
      <c r="E5" s="63" t="s">
        <v>76</v>
      </c>
      <c r="F5" s="198" t="s">
        <v>77</v>
      </c>
      <c r="G5" s="199"/>
      <c r="H5" s="200"/>
      <c r="I5" s="63" t="s">
        <v>78</v>
      </c>
      <c r="J5" s="63" t="s">
        <v>79</v>
      </c>
      <c r="K5" s="63" t="s">
        <v>80</v>
      </c>
      <c r="L5" s="63" t="s">
        <v>81</v>
      </c>
      <c r="M5" s="63" t="s">
        <v>96</v>
      </c>
      <c r="N5" s="170"/>
    </row>
    <row r="6" spans="1:15" ht="36" customHeight="1">
      <c r="A6" s="69"/>
      <c r="B6" s="204" t="s">
        <v>146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6"/>
      <c r="N6" s="63"/>
    </row>
    <row r="7" spans="1:15" ht="19.5" customHeight="1">
      <c r="A7" s="201" t="s">
        <v>82</v>
      </c>
      <c r="B7" s="204" t="s">
        <v>134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6"/>
      <c r="N7" s="63"/>
    </row>
    <row r="8" spans="1:15" ht="23.25" customHeight="1">
      <c r="A8" s="202"/>
      <c r="B8" s="201" t="s">
        <v>135</v>
      </c>
      <c r="C8" s="201" t="s">
        <v>123</v>
      </c>
      <c r="D8" s="69" t="s">
        <v>124</v>
      </c>
      <c r="E8" s="69" t="s">
        <v>133</v>
      </c>
      <c r="F8" s="93" t="s">
        <v>197</v>
      </c>
      <c r="G8" s="107">
        <v>1</v>
      </c>
      <c r="H8" s="94" t="s">
        <v>198</v>
      </c>
      <c r="I8" s="69">
        <v>611</v>
      </c>
      <c r="J8" s="136">
        <v>6780.12075</v>
      </c>
      <c r="K8" s="117">
        <v>6559.8649999999998</v>
      </c>
      <c r="L8" s="117">
        <v>6559.8649999999998</v>
      </c>
      <c r="M8" s="117">
        <f>J8+K8+L8</f>
        <v>19899.850749999998</v>
      </c>
      <c r="N8" s="210" t="s">
        <v>136</v>
      </c>
    </row>
    <row r="9" spans="1:15" ht="22.5" customHeight="1">
      <c r="A9" s="202"/>
      <c r="B9" s="202"/>
      <c r="C9" s="202"/>
      <c r="D9" s="69" t="s">
        <v>124</v>
      </c>
      <c r="E9" s="69" t="s">
        <v>133</v>
      </c>
      <c r="F9" s="93" t="s">
        <v>197</v>
      </c>
      <c r="G9" s="107">
        <v>1</v>
      </c>
      <c r="H9" s="94" t="s">
        <v>216</v>
      </c>
      <c r="I9" s="69">
        <v>611</v>
      </c>
      <c r="J9" s="136">
        <v>194.93833000000001</v>
      </c>
      <c r="K9" s="117"/>
      <c r="L9" s="117"/>
      <c r="M9" s="117"/>
      <c r="N9" s="211"/>
    </row>
    <row r="10" spans="1:15" ht="18.75">
      <c r="A10" s="202"/>
      <c r="B10" s="203"/>
      <c r="C10" s="203"/>
      <c r="D10" s="69" t="s">
        <v>124</v>
      </c>
      <c r="E10" s="69" t="s">
        <v>133</v>
      </c>
      <c r="F10" s="93" t="s">
        <v>197</v>
      </c>
      <c r="G10" s="107">
        <v>1</v>
      </c>
      <c r="H10" s="94" t="s">
        <v>217</v>
      </c>
      <c r="I10" s="69">
        <v>611</v>
      </c>
      <c r="J10" s="136">
        <v>55.566609999999997</v>
      </c>
      <c r="K10" s="117"/>
      <c r="L10" s="117"/>
      <c r="M10" s="117"/>
      <c r="N10" s="211"/>
    </row>
    <row r="11" spans="1:15" s="47" customFormat="1" ht="18.75">
      <c r="A11" s="203"/>
      <c r="B11" s="128" t="s">
        <v>83</v>
      </c>
      <c r="C11" s="129"/>
      <c r="D11" s="128"/>
      <c r="E11" s="128"/>
      <c r="F11" s="98"/>
      <c r="G11" s="130"/>
      <c r="H11" s="122"/>
      <c r="I11" s="128"/>
      <c r="J11" s="131">
        <f>SUM(J8:J10)</f>
        <v>7030.6256899999998</v>
      </c>
      <c r="K11" s="131">
        <f>K8</f>
        <v>6559.8649999999998</v>
      </c>
      <c r="L11" s="131">
        <f>L8</f>
        <v>6559.8649999999998</v>
      </c>
      <c r="M11" s="131">
        <f>M8</f>
        <v>19899.850749999998</v>
      </c>
      <c r="N11" s="212"/>
      <c r="O11" s="46"/>
    </row>
    <row r="12" spans="1:15" ht="18.75">
      <c r="A12" s="69"/>
      <c r="B12" s="207" t="s">
        <v>145</v>
      </c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9"/>
      <c r="N12" s="102"/>
      <c r="O12" s="5"/>
    </row>
    <row r="13" spans="1:15" ht="18.75">
      <c r="A13" s="201" t="s">
        <v>84</v>
      </c>
      <c r="B13" s="207" t="s">
        <v>99</v>
      </c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9"/>
      <c r="N13" s="78"/>
    </row>
    <row r="14" spans="1:15" ht="27" customHeight="1">
      <c r="A14" s="202"/>
      <c r="B14" s="201" t="s">
        <v>137</v>
      </c>
      <c r="C14" s="201" t="s">
        <v>123</v>
      </c>
      <c r="D14" s="69" t="s">
        <v>124</v>
      </c>
      <c r="E14" s="69" t="s">
        <v>95</v>
      </c>
      <c r="F14" s="93" t="s">
        <v>197</v>
      </c>
      <c r="G14" s="107">
        <v>1</v>
      </c>
      <c r="H14" s="94" t="s">
        <v>198</v>
      </c>
      <c r="I14" s="139">
        <v>611</v>
      </c>
      <c r="J14" s="136">
        <v>10376.2348</v>
      </c>
      <c r="K14" s="117">
        <v>10157.191999999999</v>
      </c>
      <c r="L14" s="117">
        <v>10157.191999999999</v>
      </c>
      <c r="M14" s="117">
        <f>J14+K14+L14</f>
        <v>30690.6188</v>
      </c>
      <c r="N14" s="213" t="s">
        <v>139</v>
      </c>
      <c r="O14" s="28"/>
    </row>
    <row r="15" spans="1:15" ht="88.5" customHeight="1">
      <c r="A15" s="202"/>
      <c r="B15" s="202"/>
      <c r="C15" s="203"/>
      <c r="D15" s="69" t="s">
        <v>124</v>
      </c>
      <c r="E15" s="69" t="s">
        <v>95</v>
      </c>
      <c r="F15" s="93" t="s">
        <v>197</v>
      </c>
      <c r="G15" s="107">
        <v>1</v>
      </c>
      <c r="H15" s="94" t="s">
        <v>216</v>
      </c>
      <c r="I15" s="139">
        <v>611</v>
      </c>
      <c r="J15" s="136">
        <v>435.30220000000003</v>
      </c>
      <c r="K15" s="117"/>
      <c r="L15" s="117"/>
      <c r="M15" s="117"/>
      <c r="N15" s="214"/>
      <c r="O15" s="28"/>
    </row>
    <row r="16" spans="1:15" ht="30" customHeight="1">
      <c r="A16" s="202"/>
      <c r="B16" s="202"/>
      <c r="C16" s="201" t="s">
        <v>123</v>
      </c>
      <c r="D16" s="69" t="s">
        <v>124</v>
      </c>
      <c r="E16" s="69" t="s">
        <v>95</v>
      </c>
      <c r="F16" s="93" t="s">
        <v>197</v>
      </c>
      <c r="G16" s="107">
        <v>1</v>
      </c>
      <c r="H16" s="94" t="s">
        <v>198</v>
      </c>
      <c r="I16" s="139">
        <v>611</v>
      </c>
      <c r="J16" s="136">
        <v>2277.5594700000001</v>
      </c>
      <c r="K16" s="117">
        <v>2231.502</v>
      </c>
      <c r="L16" s="117">
        <v>2231.502</v>
      </c>
      <c r="M16" s="117">
        <f t="shared" ref="M16:M24" si="0">J16+K16+L16</f>
        <v>6740.563470000001</v>
      </c>
      <c r="N16" s="213" t="s">
        <v>140</v>
      </c>
      <c r="O16" s="29"/>
    </row>
    <row r="17" spans="1:15" ht="18" customHeight="1">
      <c r="A17" s="202"/>
      <c r="B17" s="202"/>
      <c r="C17" s="202"/>
      <c r="D17" s="69" t="s">
        <v>124</v>
      </c>
      <c r="E17" s="69" t="s">
        <v>95</v>
      </c>
      <c r="F17" s="93" t="s">
        <v>197</v>
      </c>
      <c r="G17" s="107">
        <v>1</v>
      </c>
      <c r="H17" s="94" t="s">
        <v>216</v>
      </c>
      <c r="I17" s="139">
        <v>611</v>
      </c>
      <c r="J17" s="136">
        <v>103.02253</v>
      </c>
      <c r="K17" s="117"/>
      <c r="L17" s="117"/>
      <c r="M17" s="117"/>
      <c r="N17" s="215"/>
      <c r="O17" s="29"/>
    </row>
    <row r="18" spans="1:15" ht="53.25" customHeight="1">
      <c r="A18" s="202"/>
      <c r="B18" s="203"/>
      <c r="C18" s="203"/>
      <c r="D18" s="69" t="s">
        <v>124</v>
      </c>
      <c r="E18" s="69" t="s">
        <v>95</v>
      </c>
      <c r="F18" s="93" t="s">
        <v>197</v>
      </c>
      <c r="G18" s="107">
        <v>1</v>
      </c>
      <c r="H18" s="94" t="s">
        <v>198</v>
      </c>
      <c r="I18" s="139">
        <v>612</v>
      </c>
      <c r="J18" s="117">
        <v>49.45</v>
      </c>
      <c r="K18" s="117">
        <v>22.25</v>
      </c>
      <c r="L18" s="117">
        <v>22.25</v>
      </c>
      <c r="M18" s="117">
        <f t="shared" si="0"/>
        <v>93.95</v>
      </c>
      <c r="N18" s="214"/>
      <c r="O18" s="29"/>
    </row>
    <row r="19" spans="1:15" s="47" customFormat="1" ht="18.75">
      <c r="A19" s="203"/>
      <c r="B19" s="128" t="s">
        <v>86</v>
      </c>
      <c r="C19" s="129"/>
      <c r="D19" s="128"/>
      <c r="E19" s="128"/>
      <c r="F19" s="98"/>
      <c r="G19" s="130"/>
      <c r="H19" s="122"/>
      <c r="I19" s="128"/>
      <c r="J19" s="131">
        <f>SUM(J14:J18)</f>
        <v>13241.569000000001</v>
      </c>
      <c r="K19" s="131">
        <f>K18+K16+K14</f>
        <v>12410.944</v>
      </c>
      <c r="L19" s="131">
        <f>L18+L16+L14</f>
        <v>12410.944</v>
      </c>
      <c r="M19" s="131">
        <f>M18+M16+M14</f>
        <v>37525.132270000002</v>
      </c>
      <c r="N19" s="97"/>
      <c r="O19" s="46"/>
    </row>
    <row r="20" spans="1:15" s="47" customFormat="1" ht="18.75">
      <c r="A20" s="95"/>
      <c r="B20" s="128" t="s">
        <v>90</v>
      </c>
      <c r="C20" s="128"/>
      <c r="D20" s="128"/>
      <c r="E20" s="128"/>
      <c r="F20" s="98"/>
      <c r="G20" s="130"/>
      <c r="H20" s="122"/>
      <c r="I20" s="128"/>
      <c r="J20" s="131">
        <f>J11+J19</f>
        <v>20272.19469</v>
      </c>
      <c r="K20" s="131">
        <f>K11+K19</f>
        <v>18970.809000000001</v>
      </c>
      <c r="L20" s="131">
        <f>L11+L19</f>
        <v>18970.809000000001</v>
      </c>
      <c r="M20" s="131">
        <f>M11+M19</f>
        <v>57424.98302</v>
      </c>
      <c r="N20" s="96"/>
      <c r="O20" s="46"/>
    </row>
    <row r="21" spans="1:15" ht="18.75">
      <c r="A21" s="69"/>
      <c r="B21" s="103" t="s">
        <v>130</v>
      </c>
      <c r="C21" s="103"/>
      <c r="D21" s="103"/>
      <c r="E21" s="103"/>
      <c r="F21" s="93"/>
      <c r="G21" s="107"/>
      <c r="H21" s="94"/>
      <c r="I21" s="103"/>
      <c r="J21" s="117"/>
      <c r="K21" s="117"/>
      <c r="L21" s="117"/>
      <c r="M21" s="117">
        <f t="shared" si="0"/>
        <v>0</v>
      </c>
      <c r="N21" s="78"/>
    </row>
    <row r="22" spans="1:15" ht="75">
      <c r="A22" s="69"/>
      <c r="B22" s="103" t="s">
        <v>138</v>
      </c>
      <c r="C22" s="103" t="s">
        <v>123</v>
      </c>
      <c r="D22" s="103">
        <v>863</v>
      </c>
      <c r="E22" s="103" t="s">
        <v>95</v>
      </c>
      <c r="F22" s="93" t="s">
        <v>197</v>
      </c>
      <c r="G22" s="107">
        <v>1</v>
      </c>
      <c r="H22" s="94" t="s">
        <v>215</v>
      </c>
      <c r="I22" s="103">
        <v>244</v>
      </c>
      <c r="J22" s="117" t="s">
        <v>228</v>
      </c>
      <c r="K22" s="117">
        <v>262</v>
      </c>
      <c r="L22" s="117">
        <v>262</v>
      </c>
      <c r="M22" s="117">
        <f t="shared" si="0"/>
        <v>864</v>
      </c>
      <c r="N22" s="78" t="s">
        <v>143</v>
      </c>
      <c r="O22" s="5"/>
    </row>
    <row r="23" spans="1:15" ht="75">
      <c r="A23" s="30"/>
      <c r="B23" s="103" t="s">
        <v>141</v>
      </c>
      <c r="C23" s="103" t="s">
        <v>123</v>
      </c>
      <c r="D23" s="103">
        <v>863</v>
      </c>
      <c r="E23" s="103" t="s">
        <v>95</v>
      </c>
      <c r="F23" s="93" t="s">
        <v>197</v>
      </c>
      <c r="G23" s="107">
        <v>1</v>
      </c>
      <c r="H23" s="94" t="s">
        <v>215</v>
      </c>
      <c r="I23" s="103">
        <v>244</v>
      </c>
      <c r="J23" s="117" t="s">
        <v>229</v>
      </c>
      <c r="K23" s="117">
        <v>40</v>
      </c>
      <c r="L23" s="117">
        <v>40</v>
      </c>
      <c r="M23" s="117">
        <f t="shared" si="0"/>
        <v>140</v>
      </c>
      <c r="N23" s="78" t="s">
        <v>144</v>
      </c>
    </row>
    <row r="24" spans="1:15" ht="93.75">
      <c r="A24" s="30"/>
      <c r="B24" s="103" t="s">
        <v>142</v>
      </c>
      <c r="C24" s="103" t="s">
        <v>123</v>
      </c>
      <c r="D24" s="103">
        <v>863</v>
      </c>
      <c r="E24" s="103" t="s">
        <v>133</v>
      </c>
      <c r="F24" s="93" t="s">
        <v>197</v>
      </c>
      <c r="G24" s="107">
        <v>1</v>
      </c>
      <c r="H24" s="94" t="s">
        <v>215</v>
      </c>
      <c r="I24" s="103">
        <v>244</v>
      </c>
      <c r="J24" s="117">
        <v>120</v>
      </c>
      <c r="K24" s="117">
        <v>80</v>
      </c>
      <c r="L24" s="117">
        <v>80</v>
      </c>
      <c r="M24" s="117">
        <f t="shared" si="0"/>
        <v>280</v>
      </c>
      <c r="N24" s="78"/>
    </row>
    <row r="25" spans="1:15" s="26" customFormat="1" ht="53.25" customHeight="1">
      <c r="A25" s="161"/>
      <c r="B25" s="161"/>
      <c r="C25" s="161"/>
      <c r="D25" s="161"/>
      <c r="E25" s="161"/>
      <c r="F25" s="161"/>
      <c r="G25" s="161"/>
      <c r="H25" s="161"/>
      <c r="I25" s="161"/>
      <c r="J25" s="25"/>
      <c r="K25" s="25"/>
      <c r="L25" s="25"/>
      <c r="M25" s="25"/>
    </row>
    <row r="27" spans="1:15">
      <c r="J27" s="5"/>
      <c r="K27" s="5"/>
      <c r="L27" s="5"/>
      <c r="M27" s="5"/>
    </row>
    <row r="28" spans="1:15">
      <c r="J28" s="5"/>
      <c r="K28" s="5"/>
      <c r="L28" s="5"/>
      <c r="M28" s="5"/>
      <c r="O28" s="5"/>
    </row>
  </sheetData>
  <mergeCells count="25">
    <mergeCell ref="N8:N11"/>
    <mergeCell ref="N14:N15"/>
    <mergeCell ref="B14:B18"/>
    <mergeCell ref="C14:C15"/>
    <mergeCell ref="C16:C18"/>
    <mergeCell ref="N16:N18"/>
    <mergeCell ref="A7:A11"/>
    <mergeCell ref="A13:A19"/>
    <mergeCell ref="F5:H5"/>
    <mergeCell ref="A25:I25"/>
    <mergeCell ref="B6:M6"/>
    <mergeCell ref="B7:M7"/>
    <mergeCell ref="B13:M13"/>
    <mergeCell ref="B12:M12"/>
    <mergeCell ref="B8:B10"/>
    <mergeCell ref="C8:C10"/>
    <mergeCell ref="E1:G1"/>
    <mergeCell ref="L1:N1"/>
    <mergeCell ref="A2:N2"/>
    <mergeCell ref="A4:A5"/>
    <mergeCell ref="B4:B5"/>
    <mergeCell ref="C4:C5"/>
    <mergeCell ref="D4:I4"/>
    <mergeCell ref="J4:M4"/>
    <mergeCell ref="N4:N5"/>
  </mergeCells>
  <phoneticPr fontId="0" type="noConversion"/>
  <pageMargins left="0.35" right="0.25" top="0.44" bottom="0.41" header="0.39" footer="0.31"/>
  <pageSetup paperSize="9" scale="71" fitToHeight="17" orientation="landscape" r:id="rId1"/>
  <headerFooter alignWithMargins="0"/>
  <rowBreaks count="1" manualBreakCount="1">
    <brk id="20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O23"/>
  <sheetViews>
    <sheetView view="pageBreakPreview" zoomScaleNormal="85" zoomScaleSheetLayoutView="80" workbookViewId="0">
      <selection activeCell="A19" sqref="A19:I19"/>
    </sheetView>
  </sheetViews>
  <sheetFormatPr defaultRowHeight="15.75"/>
  <cols>
    <col min="1" max="1" width="7.7109375" style="27" customWidth="1"/>
    <col min="2" max="2" width="55.42578125" style="6" customWidth="1"/>
    <col min="3" max="3" width="16.7109375" style="6" customWidth="1"/>
    <col min="4" max="5" width="9.140625" style="6"/>
    <col min="6" max="6" width="4.5703125" style="6" customWidth="1"/>
    <col min="7" max="7" width="2.42578125" style="6" customWidth="1"/>
    <col min="8" max="8" width="6.85546875" style="6" customWidth="1"/>
    <col min="9" max="9" width="9.140625" style="6"/>
    <col min="10" max="10" width="18.140625" style="6" customWidth="1"/>
    <col min="11" max="11" width="15.7109375" style="6" customWidth="1"/>
    <col min="12" max="12" width="16.85546875" style="6" customWidth="1"/>
    <col min="13" max="13" width="17.5703125" style="6" customWidth="1"/>
    <col min="14" max="14" width="36.28515625" style="6" customWidth="1"/>
    <col min="15" max="15" width="10.42578125" style="6" bestFit="1" customWidth="1"/>
    <col min="16" max="16384" width="9.140625" style="6"/>
  </cols>
  <sheetData>
    <row r="1" spans="1:15" ht="157.5" customHeight="1">
      <c r="A1" s="30"/>
      <c r="B1" s="26"/>
      <c r="C1" s="26"/>
      <c r="D1" s="26"/>
      <c r="E1" s="218"/>
      <c r="F1" s="219"/>
      <c r="G1" s="219"/>
      <c r="H1" s="26"/>
      <c r="I1" s="26"/>
      <c r="J1" s="26"/>
      <c r="K1" s="26"/>
      <c r="L1" s="217" t="s">
        <v>243</v>
      </c>
      <c r="M1" s="217"/>
      <c r="N1" s="217"/>
      <c r="O1" s="1"/>
    </row>
    <row r="2" spans="1:15" ht="39" customHeight="1">
      <c r="A2" s="220" t="s">
        <v>221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5" ht="9" customHeight="1">
      <c r="A3" s="30"/>
      <c r="B3" s="26"/>
      <c r="C3" s="26"/>
      <c r="D3" s="26"/>
      <c r="E3" s="88"/>
      <c r="F3" s="89" t="s">
        <v>97</v>
      </c>
      <c r="G3" s="88">
        <v>1</v>
      </c>
      <c r="H3" s="88"/>
      <c r="I3" s="26"/>
      <c r="J3" s="26"/>
      <c r="K3" s="26"/>
      <c r="L3" s="26"/>
      <c r="M3" s="26"/>
      <c r="N3" s="26"/>
    </row>
    <row r="4" spans="1:15" ht="18" customHeight="1">
      <c r="A4" s="197" t="s">
        <v>69</v>
      </c>
      <c r="B4" s="174" t="s">
        <v>70</v>
      </c>
      <c r="C4" s="170" t="s">
        <v>71</v>
      </c>
      <c r="D4" s="170" t="s">
        <v>72</v>
      </c>
      <c r="E4" s="170"/>
      <c r="F4" s="170"/>
      <c r="G4" s="170"/>
      <c r="H4" s="170"/>
      <c r="I4" s="170"/>
      <c r="J4" s="198" t="s">
        <v>73</v>
      </c>
      <c r="K4" s="199"/>
      <c r="L4" s="199"/>
      <c r="M4" s="200"/>
      <c r="N4" s="170" t="s">
        <v>74</v>
      </c>
    </row>
    <row r="5" spans="1:15" ht="103.5" customHeight="1">
      <c r="A5" s="197"/>
      <c r="B5" s="176"/>
      <c r="C5" s="170"/>
      <c r="D5" s="63" t="s">
        <v>75</v>
      </c>
      <c r="E5" s="63" t="s">
        <v>76</v>
      </c>
      <c r="F5" s="198" t="s">
        <v>77</v>
      </c>
      <c r="G5" s="199"/>
      <c r="H5" s="200"/>
      <c r="I5" s="63" t="s">
        <v>78</v>
      </c>
      <c r="J5" s="63" t="s">
        <v>79</v>
      </c>
      <c r="K5" s="63" t="s">
        <v>80</v>
      </c>
      <c r="L5" s="63" t="s">
        <v>81</v>
      </c>
      <c r="M5" s="63" t="s">
        <v>27</v>
      </c>
      <c r="N5" s="170"/>
    </row>
    <row r="6" spans="1:15" ht="23.25" customHeight="1">
      <c r="A6" s="69"/>
      <c r="B6" s="204" t="s">
        <v>120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6"/>
      <c r="N6" s="63"/>
    </row>
    <row r="7" spans="1:15" ht="20.25" customHeight="1">
      <c r="A7" s="69" t="s">
        <v>84</v>
      </c>
      <c r="B7" s="204" t="s">
        <v>121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6"/>
      <c r="N7" s="78"/>
    </row>
    <row r="8" spans="1:15" ht="26.25" customHeight="1">
      <c r="A8" s="201" t="s">
        <v>85</v>
      </c>
      <c r="B8" s="201" t="s">
        <v>122</v>
      </c>
      <c r="C8" s="201" t="s">
        <v>123</v>
      </c>
      <c r="D8" s="69" t="s">
        <v>124</v>
      </c>
      <c r="E8" s="69" t="s">
        <v>95</v>
      </c>
      <c r="F8" s="93" t="s">
        <v>197</v>
      </c>
      <c r="G8" s="107">
        <v>2</v>
      </c>
      <c r="H8" s="94" t="s">
        <v>198</v>
      </c>
      <c r="I8" s="69" t="s">
        <v>199</v>
      </c>
      <c r="J8" s="136">
        <v>13196.890369999999</v>
      </c>
      <c r="K8" s="117">
        <v>12586.629000000001</v>
      </c>
      <c r="L8" s="117">
        <v>12586.629000000001</v>
      </c>
      <c r="M8" s="117">
        <f>J8+K8+L8</f>
        <v>38370.148370000003</v>
      </c>
      <c r="N8" s="174" t="s">
        <v>126</v>
      </c>
    </row>
    <row r="9" spans="1:15" ht="29.25" customHeight="1">
      <c r="A9" s="202"/>
      <c r="B9" s="202"/>
      <c r="C9" s="202"/>
      <c r="D9" s="69" t="s">
        <v>124</v>
      </c>
      <c r="E9" s="69" t="s">
        <v>95</v>
      </c>
      <c r="F9" s="93" t="s">
        <v>197</v>
      </c>
      <c r="G9" s="107">
        <v>2</v>
      </c>
      <c r="H9" s="94" t="s">
        <v>216</v>
      </c>
      <c r="I9" s="69" t="s">
        <v>199</v>
      </c>
      <c r="J9" s="136">
        <v>270.32229999999998</v>
      </c>
      <c r="K9" s="117"/>
      <c r="L9" s="117"/>
      <c r="M9" s="117"/>
      <c r="N9" s="176"/>
    </row>
    <row r="10" spans="1:15" ht="29.25" customHeight="1">
      <c r="A10" s="203"/>
      <c r="B10" s="203"/>
      <c r="C10" s="203"/>
      <c r="D10" s="69" t="s">
        <v>124</v>
      </c>
      <c r="E10" s="69" t="s">
        <v>95</v>
      </c>
      <c r="F10" s="93" t="s">
        <v>197</v>
      </c>
      <c r="G10" s="107">
        <v>2</v>
      </c>
      <c r="H10" s="94" t="s">
        <v>220</v>
      </c>
      <c r="I10" s="69" t="s">
        <v>199</v>
      </c>
      <c r="J10" s="117">
        <v>44.962290000000003</v>
      </c>
      <c r="K10" s="117"/>
      <c r="L10" s="117"/>
      <c r="M10" s="117"/>
      <c r="N10" s="64"/>
    </row>
    <row r="11" spans="1:15" s="47" customFormat="1" ht="18.75">
      <c r="A11" s="95"/>
      <c r="B11" s="128" t="s">
        <v>125</v>
      </c>
      <c r="C11" s="129"/>
      <c r="D11" s="128"/>
      <c r="E11" s="128"/>
      <c r="F11" s="98"/>
      <c r="G11" s="130"/>
      <c r="H11" s="122"/>
      <c r="I11" s="128"/>
      <c r="J11" s="131">
        <f>SUM(J8:J10)</f>
        <v>13512.174959999998</v>
      </c>
      <c r="K11" s="131">
        <f>SUM(K8:K8)</f>
        <v>12586.629000000001</v>
      </c>
      <c r="L11" s="131">
        <f>SUM(L8:L8)</f>
        <v>12586.629000000001</v>
      </c>
      <c r="M11" s="131">
        <f>SUM(M8:M8)</f>
        <v>38370.148370000003</v>
      </c>
      <c r="N11" s="97"/>
      <c r="O11" s="46"/>
    </row>
    <row r="12" spans="1:15" ht="22.5" customHeight="1">
      <c r="A12" s="69" t="s">
        <v>87</v>
      </c>
      <c r="B12" s="207" t="s">
        <v>129</v>
      </c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9"/>
      <c r="N12" s="102"/>
    </row>
    <row r="13" spans="1:15" ht="74.25" customHeight="1">
      <c r="A13" s="69" t="s">
        <v>88</v>
      </c>
      <c r="B13" s="103" t="s">
        <v>127</v>
      </c>
      <c r="C13" s="132" t="s">
        <v>123</v>
      </c>
      <c r="D13" s="69" t="s">
        <v>124</v>
      </c>
      <c r="E13" s="69" t="s">
        <v>95</v>
      </c>
      <c r="F13" s="93" t="s">
        <v>197</v>
      </c>
      <c r="G13" s="107">
        <v>2</v>
      </c>
      <c r="H13" s="94" t="s">
        <v>198</v>
      </c>
      <c r="I13" s="69" t="s">
        <v>199</v>
      </c>
      <c r="J13" s="117">
        <v>771.58</v>
      </c>
      <c r="K13" s="117">
        <v>735.40599999999995</v>
      </c>
      <c r="L13" s="117">
        <v>735.40599999999995</v>
      </c>
      <c r="M13" s="117">
        <f>J13+K13+L13</f>
        <v>2242.3919999999998</v>
      </c>
      <c r="N13" s="78" t="s">
        <v>128</v>
      </c>
    </row>
    <row r="14" spans="1:15" s="47" customFormat="1" ht="18.75">
      <c r="A14" s="95"/>
      <c r="B14" s="128" t="s">
        <v>86</v>
      </c>
      <c r="C14" s="129"/>
      <c r="D14" s="128"/>
      <c r="E14" s="128"/>
      <c r="F14" s="98"/>
      <c r="G14" s="130"/>
      <c r="H14" s="122"/>
      <c r="I14" s="128"/>
      <c r="J14" s="131">
        <f>J13</f>
        <v>771.58</v>
      </c>
      <c r="K14" s="131">
        <f>K13</f>
        <v>735.40599999999995</v>
      </c>
      <c r="L14" s="131">
        <f>L13</f>
        <v>735.40599999999995</v>
      </c>
      <c r="M14" s="131">
        <f>SUM(J14:L14)</f>
        <v>2242.3919999999998</v>
      </c>
      <c r="N14" s="97"/>
      <c r="O14" s="46"/>
    </row>
    <row r="15" spans="1:15" s="47" customFormat="1" ht="18.75">
      <c r="A15" s="95"/>
      <c r="B15" s="128" t="s">
        <v>90</v>
      </c>
      <c r="C15" s="128"/>
      <c r="D15" s="128"/>
      <c r="E15" s="128"/>
      <c r="F15" s="98"/>
      <c r="G15" s="130"/>
      <c r="H15" s="122"/>
      <c r="I15" s="128"/>
      <c r="J15" s="131">
        <f>J11+J14</f>
        <v>14283.754959999998</v>
      </c>
      <c r="K15" s="131">
        <f>K11+K14</f>
        <v>13322.035</v>
      </c>
      <c r="L15" s="131">
        <f>L11+L14</f>
        <v>13322.035</v>
      </c>
      <c r="M15" s="131">
        <f>M11+M14</f>
        <v>40612.540370000002</v>
      </c>
      <c r="N15" s="96"/>
      <c r="O15" s="46"/>
    </row>
    <row r="16" spans="1:15" ht="18.75">
      <c r="A16" s="69"/>
      <c r="B16" s="103" t="s">
        <v>130</v>
      </c>
      <c r="C16" s="103"/>
      <c r="D16" s="103"/>
      <c r="E16" s="103"/>
      <c r="F16" s="93"/>
      <c r="G16" s="107"/>
      <c r="H16" s="94"/>
      <c r="I16" s="103"/>
      <c r="J16" s="117"/>
      <c r="K16" s="117"/>
      <c r="L16" s="117"/>
      <c r="M16" s="117"/>
      <c r="N16" s="78"/>
    </row>
    <row r="17" spans="1:15" ht="38.25" customHeight="1">
      <c r="A17" s="69"/>
      <c r="B17" s="103" t="s">
        <v>131</v>
      </c>
      <c r="C17" s="103" t="s">
        <v>123</v>
      </c>
      <c r="D17" s="103">
        <v>863</v>
      </c>
      <c r="E17" s="103" t="s">
        <v>95</v>
      </c>
      <c r="F17" s="93" t="s">
        <v>197</v>
      </c>
      <c r="G17" s="107">
        <v>1</v>
      </c>
      <c r="H17" s="94" t="s">
        <v>215</v>
      </c>
      <c r="I17" s="103">
        <v>244</v>
      </c>
      <c r="J17" s="117" t="s">
        <v>227</v>
      </c>
      <c r="K17" s="117">
        <v>325</v>
      </c>
      <c r="L17" s="117">
        <v>325</v>
      </c>
      <c r="M17" s="117">
        <f>SUM(J17:L17)</f>
        <v>650</v>
      </c>
      <c r="N17" s="78"/>
      <c r="O17" s="5"/>
    </row>
    <row r="18" spans="1:15" ht="18.75">
      <c r="A18" s="104"/>
      <c r="B18" s="133"/>
      <c r="C18" s="133"/>
      <c r="D18" s="133"/>
      <c r="E18" s="133"/>
      <c r="F18" s="104"/>
      <c r="G18" s="104"/>
      <c r="H18" s="104"/>
      <c r="I18" s="133"/>
      <c r="J18" s="134"/>
      <c r="K18" s="134"/>
      <c r="L18" s="134"/>
      <c r="M18" s="134"/>
      <c r="N18" s="72"/>
      <c r="O18" s="5"/>
    </row>
    <row r="19" spans="1:15" s="26" customFormat="1" ht="35.25" customHeight="1">
      <c r="A19" s="216" t="s">
        <v>132</v>
      </c>
      <c r="B19" s="216"/>
      <c r="C19" s="216"/>
      <c r="D19" s="216"/>
      <c r="E19" s="216"/>
      <c r="F19" s="216"/>
      <c r="G19" s="216"/>
      <c r="H19" s="216"/>
      <c r="I19" s="216"/>
      <c r="J19" s="135"/>
      <c r="K19" s="135"/>
      <c r="L19" s="135"/>
      <c r="M19" s="135"/>
    </row>
    <row r="22" spans="1:15">
      <c r="J22" s="5"/>
      <c r="K22" s="5"/>
      <c r="L22" s="5"/>
      <c r="M22" s="5"/>
    </row>
    <row r="23" spans="1:15">
      <c r="J23" s="5"/>
      <c r="K23" s="5"/>
      <c r="L23" s="5"/>
      <c r="M23" s="5"/>
      <c r="O23" s="5"/>
    </row>
  </sheetData>
  <mergeCells count="18">
    <mergeCell ref="L1:N1"/>
    <mergeCell ref="B6:M6"/>
    <mergeCell ref="B7:M7"/>
    <mergeCell ref="E1:G1"/>
    <mergeCell ref="A2:N2"/>
    <mergeCell ref="A4:A5"/>
    <mergeCell ref="B4:B5"/>
    <mergeCell ref="C4:C5"/>
    <mergeCell ref="D4:I4"/>
    <mergeCell ref="J4:M4"/>
    <mergeCell ref="N4:N5"/>
    <mergeCell ref="A19:I19"/>
    <mergeCell ref="F5:H5"/>
    <mergeCell ref="B12:M12"/>
    <mergeCell ref="N8:N9"/>
    <mergeCell ref="A8:A10"/>
    <mergeCell ref="C8:C10"/>
    <mergeCell ref="B8:B10"/>
  </mergeCells>
  <phoneticPr fontId="0" type="noConversion"/>
  <pageMargins left="0.35433070866141736" right="0.23622047244094491" top="0.51" bottom="0.5" header="0.57999999999999996" footer="0.57999999999999996"/>
  <pageSetup paperSize="9" scale="64" fitToHeight="1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37"/>
  <sheetViews>
    <sheetView tabSelected="1" view="pageBreakPreview" topLeftCell="A19" zoomScaleNormal="85" zoomScaleSheetLayoutView="70" workbookViewId="0">
      <selection activeCell="A34" sqref="A34:I34"/>
    </sheetView>
  </sheetViews>
  <sheetFormatPr defaultRowHeight="15.75" outlineLevelRow="1"/>
  <cols>
    <col min="1" max="1" width="7.7109375" style="27" customWidth="1"/>
    <col min="2" max="2" width="30.85546875" style="6" customWidth="1"/>
    <col min="3" max="3" width="16.140625" style="6" customWidth="1"/>
    <col min="4" max="5" width="9.140625" style="6"/>
    <col min="6" max="6" width="4.5703125" style="6" customWidth="1"/>
    <col min="7" max="7" width="2.42578125" style="6" customWidth="1"/>
    <col min="8" max="8" width="6.5703125" style="6" customWidth="1"/>
    <col min="9" max="9" width="9.140625" style="6"/>
    <col min="10" max="10" width="15.85546875" style="6" customWidth="1"/>
    <col min="11" max="11" width="14.7109375" style="6" customWidth="1"/>
    <col min="12" max="12" width="18.140625" style="6" customWidth="1"/>
    <col min="13" max="13" width="17.5703125" style="6" customWidth="1"/>
    <col min="14" max="14" width="26" style="6" customWidth="1"/>
    <col min="15" max="15" width="10.42578125" style="6" bestFit="1" customWidth="1"/>
    <col min="16" max="16384" width="9.140625" style="6"/>
  </cols>
  <sheetData>
    <row r="1" spans="1:15" ht="175.5" customHeight="1">
      <c r="A1" s="30"/>
      <c r="B1" s="26"/>
      <c r="C1" s="26"/>
      <c r="D1" s="26"/>
      <c r="E1" s="218"/>
      <c r="F1" s="223"/>
      <c r="G1" s="223"/>
      <c r="H1" s="26"/>
      <c r="I1" s="26"/>
      <c r="J1" s="26"/>
      <c r="K1" s="26"/>
      <c r="L1" s="217" t="s">
        <v>244</v>
      </c>
      <c r="M1" s="217"/>
      <c r="N1" s="217"/>
      <c r="O1" s="1"/>
    </row>
    <row r="2" spans="1:15" ht="39" customHeight="1">
      <c r="A2" s="220" t="s">
        <v>150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5" ht="18.75">
      <c r="A3" s="30"/>
      <c r="B3" s="26"/>
      <c r="C3" s="26"/>
      <c r="D3" s="26"/>
      <c r="E3" s="88"/>
      <c r="F3" s="89" t="s">
        <v>97</v>
      </c>
      <c r="G3" s="88">
        <v>5</v>
      </c>
      <c r="H3" s="88"/>
      <c r="I3" s="88"/>
      <c r="J3" s="26"/>
      <c r="K3" s="26"/>
      <c r="L3" s="26"/>
      <c r="M3" s="26"/>
      <c r="N3" s="26"/>
    </row>
    <row r="4" spans="1:15" ht="18" customHeight="1">
      <c r="A4" s="197" t="s">
        <v>69</v>
      </c>
      <c r="B4" s="174" t="s">
        <v>70</v>
      </c>
      <c r="C4" s="170" t="s">
        <v>71</v>
      </c>
      <c r="D4" s="170" t="s">
        <v>72</v>
      </c>
      <c r="E4" s="170"/>
      <c r="F4" s="170"/>
      <c r="G4" s="170"/>
      <c r="H4" s="170"/>
      <c r="I4" s="170"/>
      <c r="J4" s="198" t="s">
        <v>73</v>
      </c>
      <c r="K4" s="199"/>
      <c r="L4" s="199"/>
      <c r="M4" s="200"/>
      <c r="N4" s="170" t="s">
        <v>74</v>
      </c>
    </row>
    <row r="5" spans="1:15" ht="124.5" customHeight="1">
      <c r="A5" s="197"/>
      <c r="B5" s="176"/>
      <c r="C5" s="170"/>
      <c r="D5" s="63" t="s">
        <v>75</v>
      </c>
      <c r="E5" s="63" t="s">
        <v>76</v>
      </c>
      <c r="F5" s="198" t="s">
        <v>77</v>
      </c>
      <c r="G5" s="199"/>
      <c r="H5" s="200"/>
      <c r="I5" s="63" t="s">
        <v>78</v>
      </c>
      <c r="J5" s="63" t="s">
        <v>79</v>
      </c>
      <c r="K5" s="63" t="s">
        <v>80</v>
      </c>
      <c r="L5" s="63" t="s">
        <v>81</v>
      </c>
      <c r="M5" s="63" t="s">
        <v>96</v>
      </c>
      <c r="N5" s="170"/>
    </row>
    <row r="6" spans="1:15" ht="18.75">
      <c r="A6" s="69"/>
      <c r="B6" s="204" t="s">
        <v>102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6"/>
      <c r="N6" s="63"/>
    </row>
    <row r="7" spans="1:15" ht="18.75">
      <c r="A7" s="69" t="s">
        <v>82</v>
      </c>
      <c r="B7" s="204" t="s">
        <v>151</v>
      </c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6"/>
      <c r="N7" s="78"/>
    </row>
    <row r="8" spans="1:15" ht="129" customHeight="1">
      <c r="A8" s="108" t="s">
        <v>98</v>
      </c>
      <c r="B8" s="109" t="s">
        <v>103</v>
      </c>
      <c r="C8" s="110" t="s">
        <v>123</v>
      </c>
      <c r="D8" s="69" t="s">
        <v>124</v>
      </c>
      <c r="E8" s="69" t="s">
        <v>95</v>
      </c>
      <c r="F8" s="93" t="s">
        <v>197</v>
      </c>
      <c r="G8" s="91">
        <v>3</v>
      </c>
      <c r="H8" s="94" t="s">
        <v>201</v>
      </c>
      <c r="I8" s="69" t="s">
        <v>200</v>
      </c>
      <c r="J8" s="111">
        <v>80</v>
      </c>
      <c r="K8" s="111">
        <v>0</v>
      </c>
      <c r="L8" s="111">
        <v>0</v>
      </c>
      <c r="M8" s="111">
        <f>SUM(J8:L8)</f>
        <v>80</v>
      </c>
      <c r="N8" s="112" t="s">
        <v>153</v>
      </c>
      <c r="O8" s="29"/>
    </row>
    <row r="9" spans="1:15" ht="150" customHeight="1">
      <c r="A9" s="108"/>
      <c r="B9" s="109" t="s">
        <v>152</v>
      </c>
      <c r="C9" s="110" t="s">
        <v>123</v>
      </c>
      <c r="D9" s="69" t="s">
        <v>124</v>
      </c>
      <c r="E9" s="69" t="s">
        <v>95</v>
      </c>
      <c r="F9" s="93" t="s">
        <v>197</v>
      </c>
      <c r="G9" s="91">
        <v>3</v>
      </c>
      <c r="H9" s="94" t="s">
        <v>202</v>
      </c>
      <c r="I9" s="69" t="s">
        <v>200</v>
      </c>
      <c r="J9" s="111">
        <v>20</v>
      </c>
      <c r="K9" s="111"/>
      <c r="L9" s="111"/>
      <c r="M9" s="111">
        <f>SUM(J9:L9)</f>
        <v>20</v>
      </c>
      <c r="N9" s="112" t="s">
        <v>153</v>
      </c>
      <c r="O9" s="29"/>
    </row>
    <row r="10" spans="1:15" ht="18.75">
      <c r="A10" s="69"/>
      <c r="B10" s="78" t="s">
        <v>83</v>
      </c>
      <c r="C10" s="102"/>
      <c r="D10" s="78"/>
      <c r="E10" s="78"/>
      <c r="F10" s="93"/>
      <c r="G10" s="91"/>
      <c r="H10" s="92"/>
      <c r="I10" s="78"/>
      <c r="J10" s="113">
        <f>J8+J9</f>
        <v>100</v>
      </c>
      <c r="K10" s="113">
        <f>SUM(K8:K8)</f>
        <v>0</v>
      </c>
      <c r="L10" s="113">
        <f>SUM(L8:L8)</f>
        <v>0</v>
      </c>
      <c r="M10" s="113">
        <f>SUM(J10:L10)</f>
        <v>100</v>
      </c>
      <c r="N10" s="102"/>
      <c r="O10" s="5"/>
    </row>
    <row r="11" spans="1:15" ht="18.75">
      <c r="A11" s="69" t="s">
        <v>84</v>
      </c>
      <c r="B11" s="204" t="s">
        <v>154</v>
      </c>
      <c r="C11" s="205"/>
      <c r="D11" s="205"/>
      <c r="E11" s="205"/>
      <c r="F11" s="224"/>
      <c r="G11" s="224"/>
      <c r="H11" s="224"/>
      <c r="I11" s="205"/>
      <c r="J11" s="205"/>
      <c r="K11" s="205"/>
      <c r="L11" s="205"/>
      <c r="M11" s="206"/>
      <c r="N11" s="102"/>
    </row>
    <row r="12" spans="1:15" ht="15.75" customHeight="1">
      <c r="A12" s="69"/>
      <c r="B12" s="227" t="s">
        <v>205</v>
      </c>
      <c r="C12" s="229" t="s">
        <v>123</v>
      </c>
      <c r="D12" s="63">
        <v>863</v>
      </c>
      <c r="E12" s="93" t="s">
        <v>95</v>
      </c>
      <c r="F12" s="114" t="s">
        <v>197</v>
      </c>
      <c r="G12" s="115" t="s">
        <v>84</v>
      </c>
      <c r="H12" s="116" t="s">
        <v>106</v>
      </c>
      <c r="I12" s="94" t="s">
        <v>200</v>
      </c>
      <c r="J12" s="117" t="s">
        <v>222</v>
      </c>
      <c r="K12" s="117" t="s">
        <v>222</v>
      </c>
      <c r="L12" s="117" t="s">
        <v>222</v>
      </c>
      <c r="M12" s="70">
        <f>L12+K12+J12</f>
        <v>0</v>
      </c>
      <c r="N12" s="174" t="s">
        <v>218</v>
      </c>
    </row>
    <row r="13" spans="1:15" ht="80.25" customHeight="1">
      <c r="A13" s="69" t="s">
        <v>85</v>
      </c>
      <c r="B13" s="228"/>
      <c r="C13" s="229"/>
      <c r="D13" s="94" t="s">
        <v>124</v>
      </c>
      <c r="E13" s="69" t="s">
        <v>95</v>
      </c>
      <c r="F13" s="118" t="s">
        <v>197</v>
      </c>
      <c r="G13" s="119">
        <v>3</v>
      </c>
      <c r="H13" s="120" t="s">
        <v>203</v>
      </c>
      <c r="I13" s="69" t="s">
        <v>200</v>
      </c>
      <c r="J13" s="70">
        <v>115.3</v>
      </c>
      <c r="K13" s="70">
        <v>168.4</v>
      </c>
      <c r="L13" s="70"/>
      <c r="M13" s="70">
        <f>SUM(J13:L13)</f>
        <v>283.7</v>
      </c>
      <c r="N13" s="175"/>
    </row>
    <row r="14" spans="1:15" ht="110.25" hidden="1" customHeight="1">
      <c r="A14" s="69" t="s">
        <v>107</v>
      </c>
      <c r="B14" s="78" t="s">
        <v>105</v>
      </c>
      <c r="C14" s="102" t="s">
        <v>123</v>
      </c>
      <c r="D14" s="69" t="s">
        <v>92</v>
      </c>
      <c r="E14" s="69" t="s">
        <v>95</v>
      </c>
      <c r="F14" s="93" t="str">
        <f>$F$3</f>
        <v>08</v>
      </c>
      <c r="G14" s="91">
        <f>$G$3</f>
        <v>5</v>
      </c>
      <c r="H14" s="94" t="s">
        <v>106</v>
      </c>
      <c r="I14" s="69" t="s">
        <v>101</v>
      </c>
      <c r="J14" s="70">
        <v>6929</v>
      </c>
      <c r="K14" s="70">
        <v>6929</v>
      </c>
      <c r="L14" s="70">
        <v>6929</v>
      </c>
      <c r="M14" s="70">
        <f>SUM(J14:L14)</f>
        <v>20787</v>
      </c>
      <c r="N14" s="175"/>
    </row>
    <row r="15" spans="1:15" ht="131.25">
      <c r="A15" s="69" t="s">
        <v>67</v>
      </c>
      <c r="B15" s="78" t="s">
        <v>206</v>
      </c>
      <c r="C15" s="102" t="s">
        <v>123</v>
      </c>
      <c r="D15" s="69" t="s">
        <v>124</v>
      </c>
      <c r="E15" s="69" t="s">
        <v>95</v>
      </c>
      <c r="F15" s="93" t="s">
        <v>197</v>
      </c>
      <c r="G15" s="91">
        <v>3</v>
      </c>
      <c r="H15" s="94" t="s">
        <v>204</v>
      </c>
      <c r="I15" s="69" t="s">
        <v>200</v>
      </c>
      <c r="J15" s="70">
        <v>28.824999999999999</v>
      </c>
      <c r="K15" s="70">
        <v>42.23</v>
      </c>
      <c r="L15" s="70">
        <v>0.13</v>
      </c>
      <c r="M15" s="70">
        <f>SUM(J15:L15)</f>
        <v>71.184999999999988</v>
      </c>
      <c r="N15" s="176"/>
    </row>
    <row r="16" spans="1:15" ht="187.5">
      <c r="A16" s="69" t="s">
        <v>225</v>
      </c>
      <c r="B16" s="127" t="s">
        <v>223</v>
      </c>
      <c r="C16" s="102" t="s">
        <v>123</v>
      </c>
      <c r="D16" s="69" t="s">
        <v>124</v>
      </c>
      <c r="E16" s="69" t="s">
        <v>133</v>
      </c>
      <c r="F16" s="93" t="s">
        <v>197</v>
      </c>
      <c r="G16" s="91">
        <v>1</v>
      </c>
      <c r="H16" s="94" t="s">
        <v>230</v>
      </c>
      <c r="I16" s="69" t="s">
        <v>200</v>
      </c>
      <c r="J16" s="70">
        <v>264</v>
      </c>
      <c r="K16" s="70"/>
      <c r="L16" s="70"/>
      <c r="M16" s="70"/>
      <c r="N16" s="64"/>
    </row>
    <row r="17" spans="1:15" ht="206.25">
      <c r="A17" s="69" t="s">
        <v>226</v>
      </c>
      <c r="B17" s="127" t="s">
        <v>224</v>
      </c>
      <c r="C17" s="102" t="s">
        <v>123</v>
      </c>
      <c r="D17" s="69" t="s">
        <v>124</v>
      </c>
      <c r="E17" s="69" t="s">
        <v>133</v>
      </c>
      <c r="F17" s="93" t="s">
        <v>197</v>
      </c>
      <c r="G17" s="91">
        <v>1</v>
      </c>
      <c r="H17" s="94" t="s">
        <v>198</v>
      </c>
      <c r="I17" s="69" t="s">
        <v>199</v>
      </c>
      <c r="J17" s="70">
        <v>9</v>
      </c>
      <c r="K17" s="70"/>
      <c r="L17" s="70"/>
      <c r="M17" s="70"/>
      <c r="N17" s="64"/>
    </row>
    <row r="18" spans="1:15" s="47" customFormat="1" ht="18.75">
      <c r="A18" s="95"/>
      <c r="B18" s="96" t="s">
        <v>86</v>
      </c>
      <c r="C18" s="97"/>
      <c r="D18" s="96"/>
      <c r="E18" s="96"/>
      <c r="F18" s="98"/>
      <c r="G18" s="99"/>
      <c r="H18" s="100"/>
      <c r="I18" s="96"/>
      <c r="J18" s="101">
        <f>J15+J13+J12</f>
        <v>144.125</v>
      </c>
      <c r="K18" s="101">
        <f>K15+K13+K12</f>
        <v>210.63</v>
      </c>
      <c r="L18" s="101">
        <f>L15+L13+L12</f>
        <v>0.13</v>
      </c>
      <c r="M18" s="101">
        <f>M15+M13+M12</f>
        <v>354.88499999999999</v>
      </c>
      <c r="N18" s="97"/>
      <c r="O18" s="46"/>
    </row>
    <row r="19" spans="1:15" ht="38.25" customHeight="1">
      <c r="A19" s="121" t="s">
        <v>66</v>
      </c>
      <c r="B19" s="204" t="s">
        <v>65</v>
      </c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6"/>
      <c r="N19" s="90"/>
    </row>
    <row r="20" spans="1:15" s="47" customFormat="1" ht="37.5">
      <c r="A20" s="121" t="s">
        <v>88</v>
      </c>
      <c r="B20" s="225" t="s">
        <v>63</v>
      </c>
      <c r="C20" s="174" t="s">
        <v>123</v>
      </c>
      <c r="D20" s="95" t="s">
        <v>124</v>
      </c>
      <c r="E20" s="95" t="s">
        <v>93</v>
      </c>
      <c r="F20" s="98" t="s">
        <v>197</v>
      </c>
      <c r="G20" s="99">
        <v>3</v>
      </c>
      <c r="H20" s="122" t="s">
        <v>207</v>
      </c>
      <c r="I20" s="95" t="s">
        <v>208</v>
      </c>
      <c r="J20" s="131">
        <f>J21+J22+J23</f>
        <v>1542.7999999999997</v>
      </c>
      <c r="K20" s="131">
        <f>K21+K22+K23</f>
        <v>1594.556</v>
      </c>
      <c r="L20" s="131">
        <f>L21+L22+L23</f>
        <v>1594.556</v>
      </c>
      <c r="M20" s="131">
        <f>M21+M22+M23</f>
        <v>4731.9120000000003</v>
      </c>
      <c r="N20" s="221" t="s">
        <v>155</v>
      </c>
      <c r="O20" s="48"/>
    </row>
    <row r="21" spans="1:15" ht="18.75">
      <c r="A21" s="123"/>
      <c r="B21" s="226"/>
      <c r="C21" s="175"/>
      <c r="D21" s="69" t="s">
        <v>124</v>
      </c>
      <c r="E21" s="69" t="s">
        <v>93</v>
      </c>
      <c r="F21" s="93" t="s">
        <v>197</v>
      </c>
      <c r="G21" s="91">
        <v>3</v>
      </c>
      <c r="H21" s="94" t="s">
        <v>207</v>
      </c>
      <c r="I21" s="69" t="s">
        <v>209</v>
      </c>
      <c r="J21" s="117">
        <v>1397.3</v>
      </c>
      <c r="K21" s="117">
        <v>1449.1559999999999</v>
      </c>
      <c r="L21" s="117">
        <v>1449.1559999999999</v>
      </c>
      <c r="M21" s="117">
        <f t="shared" ref="M21:M27" si="0">L21+K21+J21</f>
        <v>4295.6120000000001</v>
      </c>
      <c r="N21" s="222"/>
      <c r="O21" s="29"/>
    </row>
    <row r="22" spans="1:15" ht="18.75">
      <c r="A22" s="123"/>
      <c r="B22" s="226"/>
      <c r="C22" s="175"/>
      <c r="D22" s="69" t="s">
        <v>124</v>
      </c>
      <c r="E22" s="69" t="s">
        <v>93</v>
      </c>
      <c r="F22" s="93" t="s">
        <v>197</v>
      </c>
      <c r="G22" s="91">
        <v>3</v>
      </c>
      <c r="H22" s="94" t="s">
        <v>207</v>
      </c>
      <c r="I22" s="69" t="s">
        <v>210</v>
      </c>
      <c r="J22" s="117">
        <v>28.6816</v>
      </c>
      <c r="K22" s="117">
        <v>44</v>
      </c>
      <c r="L22" s="117">
        <v>44</v>
      </c>
      <c r="M22" s="117">
        <f t="shared" si="0"/>
        <v>116.6816</v>
      </c>
      <c r="N22" s="222"/>
      <c r="O22" s="29"/>
    </row>
    <row r="23" spans="1:15" ht="18.75">
      <c r="A23" s="123"/>
      <c r="B23" s="226"/>
      <c r="C23" s="175"/>
      <c r="D23" s="69" t="s">
        <v>124</v>
      </c>
      <c r="E23" s="69" t="s">
        <v>93</v>
      </c>
      <c r="F23" s="93" t="s">
        <v>197</v>
      </c>
      <c r="G23" s="91">
        <v>3</v>
      </c>
      <c r="H23" s="94" t="s">
        <v>207</v>
      </c>
      <c r="I23" s="69" t="s">
        <v>211</v>
      </c>
      <c r="J23" s="117" t="s">
        <v>231</v>
      </c>
      <c r="K23" s="117">
        <v>101.4</v>
      </c>
      <c r="L23" s="117">
        <v>101.4</v>
      </c>
      <c r="M23" s="117">
        <f t="shared" si="0"/>
        <v>319.61840000000001</v>
      </c>
      <c r="N23" s="222"/>
      <c r="O23" s="29"/>
    </row>
    <row r="24" spans="1:15" s="47" customFormat="1" ht="37.5">
      <c r="A24" s="124"/>
      <c r="B24" s="226"/>
      <c r="C24" s="175"/>
      <c r="D24" s="95" t="s">
        <v>124</v>
      </c>
      <c r="E24" s="95" t="s">
        <v>93</v>
      </c>
      <c r="F24" s="98" t="s">
        <v>197</v>
      </c>
      <c r="G24" s="99">
        <v>3</v>
      </c>
      <c r="H24" s="122" t="s">
        <v>198</v>
      </c>
      <c r="I24" s="95" t="s">
        <v>212</v>
      </c>
      <c r="J24" s="131">
        <f>J25+J26+J27</f>
        <v>2474.1330000000003</v>
      </c>
      <c r="K24" s="131">
        <f>K25+K26+K27</f>
        <v>2559.549</v>
      </c>
      <c r="L24" s="131">
        <f>L25+L26+L27</f>
        <v>2559.549</v>
      </c>
      <c r="M24" s="131">
        <f t="shared" si="0"/>
        <v>7593.2309999999998</v>
      </c>
      <c r="N24" s="222"/>
      <c r="O24" s="48"/>
    </row>
    <row r="25" spans="1:15" ht="18.75">
      <c r="A25" s="123"/>
      <c r="B25" s="226"/>
      <c r="C25" s="175"/>
      <c r="D25" s="69" t="s">
        <v>124</v>
      </c>
      <c r="E25" s="69" t="s">
        <v>93</v>
      </c>
      <c r="F25" s="93" t="s">
        <v>197</v>
      </c>
      <c r="G25" s="91">
        <v>3</v>
      </c>
      <c r="H25" s="94" t="s">
        <v>198</v>
      </c>
      <c r="I25" s="69" t="s">
        <v>213</v>
      </c>
      <c r="J25" s="117">
        <v>2306.2330000000002</v>
      </c>
      <c r="K25" s="117">
        <v>2391.6489999999999</v>
      </c>
      <c r="L25" s="117">
        <v>2391.6489999999999</v>
      </c>
      <c r="M25" s="117">
        <f t="shared" si="0"/>
        <v>7089.5309999999999</v>
      </c>
      <c r="N25" s="222"/>
      <c r="O25" s="29"/>
    </row>
    <row r="26" spans="1:15" ht="18.75">
      <c r="A26" s="123"/>
      <c r="B26" s="226"/>
      <c r="C26" s="175"/>
      <c r="D26" s="69" t="s">
        <v>124</v>
      </c>
      <c r="E26" s="69" t="s">
        <v>93</v>
      </c>
      <c r="F26" s="93" t="s">
        <v>197</v>
      </c>
      <c r="G26" s="91">
        <v>3</v>
      </c>
      <c r="H26" s="94" t="s">
        <v>198</v>
      </c>
      <c r="I26" s="69" t="s">
        <v>214</v>
      </c>
      <c r="J26" s="117" t="s">
        <v>232</v>
      </c>
      <c r="K26" s="117">
        <v>7.1</v>
      </c>
      <c r="L26" s="117">
        <v>7.1</v>
      </c>
      <c r="M26" s="117">
        <f t="shared" si="0"/>
        <v>18.2</v>
      </c>
      <c r="N26" s="222"/>
      <c r="O26" s="29"/>
    </row>
    <row r="27" spans="1:15" ht="18.75">
      <c r="A27" s="123"/>
      <c r="B27" s="226"/>
      <c r="C27" s="176"/>
      <c r="D27" s="69" t="s">
        <v>124</v>
      </c>
      <c r="E27" s="69" t="s">
        <v>93</v>
      </c>
      <c r="F27" s="93" t="s">
        <v>197</v>
      </c>
      <c r="G27" s="91">
        <v>3</v>
      </c>
      <c r="H27" s="94" t="s">
        <v>198</v>
      </c>
      <c r="I27" s="69" t="s">
        <v>211</v>
      </c>
      <c r="J27" s="117" t="s">
        <v>233</v>
      </c>
      <c r="K27" s="117">
        <v>160.80000000000001</v>
      </c>
      <c r="L27" s="117">
        <v>160.80000000000001</v>
      </c>
      <c r="M27" s="117">
        <f t="shared" si="0"/>
        <v>485.5</v>
      </c>
      <c r="N27" s="222"/>
      <c r="O27" s="29"/>
    </row>
    <row r="28" spans="1:15" ht="23.25" customHeight="1" outlineLevel="1">
      <c r="A28" s="125"/>
      <c r="B28" s="78" t="s">
        <v>89</v>
      </c>
      <c r="C28" s="110"/>
      <c r="D28" s="69"/>
      <c r="E28" s="69"/>
      <c r="F28" s="93"/>
      <c r="G28" s="91"/>
      <c r="H28" s="94"/>
      <c r="I28" s="69"/>
      <c r="J28" s="117">
        <f>J24+J20</f>
        <v>4016.933</v>
      </c>
      <c r="K28" s="117">
        <f>K24+K20</f>
        <v>4154.1049999999996</v>
      </c>
      <c r="L28" s="117">
        <f>L24+L20</f>
        <v>4154.1049999999996</v>
      </c>
      <c r="M28" s="117">
        <f>M24+M20</f>
        <v>12325.143</v>
      </c>
      <c r="N28" s="126"/>
      <c r="O28" s="29"/>
    </row>
    <row r="29" spans="1:15" ht="18.75">
      <c r="A29" s="69"/>
      <c r="B29" s="96" t="s">
        <v>90</v>
      </c>
      <c r="C29" s="78"/>
      <c r="D29" s="78"/>
      <c r="E29" s="78"/>
      <c r="F29" s="93"/>
      <c r="G29" s="91"/>
      <c r="H29" s="92"/>
      <c r="I29" s="78"/>
      <c r="J29" s="137">
        <f>J10+J18+J28</f>
        <v>4261.058</v>
      </c>
      <c r="K29" s="137">
        <f>K10+K18+K28</f>
        <v>4364.7349999999997</v>
      </c>
      <c r="L29" s="137">
        <f>L10+L18+L28</f>
        <v>4154.2349999999997</v>
      </c>
      <c r="M29" s="137">
        <f>M10+M18+M28</f>
        <v>12780.028</v>
      </c>
      <c r="N29" s="78"/>
      <c r="O29" s="5"/>
    </row>
    <row r="30" spans="1:15" ht="18.75">
      <c r="A30" s="69"/>
      <c r="B30" s="78" t="s">
        <v>91</v>
      </c>
      <c r="C30" s="78"/>
      <c r="D30" s="78"/>
      <c r="E30" s="78"/>
      <c r="F30" s="93"/>
      <c r="G30" s="91"/>
      <c r="H30" s="92"/>
      <c r="I30" s="78"/>
      <c r="J30" s="138"/>
      <c r="K30" s="138"/>
      <c r="L30" s="138"/>
      <c r="M30" s="138"/>
      <c r="N30" s="78"/>
    </row>
    <row r="31" spans="1:15" ht="18.75">
      <c r="A31" s="69"/>
      <c r="B31" s="78" t="s">
        <v>156</v>
      </c>
      <c r="C31" s="78"/>
      <c r="D31" s="78"/>
      <c r="E31" s="78"/>
      <c r="F31" s="93"/>
      <c r="G31" s="91"/>
      <c r="H31" s="92"/>
      <c r="I31" s="78"/>
      <c r="J31" s="117">
        <f>J24+J20+J15+J9</f>
        <v>4065.7579999999998</v>
      </c>
      <c r="K31" s="117">
        <f>K24+K20+K15+K9</f>
        <v>4196.3349999999991</v>
      </c>
      <c r="L31" s="117">
        <f>L24+L20+L15+L9</f>
        <v>4154.2349999999997</v>
      </c>
      <c r="M31" s="117">
        <f>M24+M20+M15+M9</f>
        <v>12416.328</v>
      </c>
      <c r="N31" s="78"/>
      <c r="O31" s="5"/>
    </row>
    <row r="32" spans="1:15" ht="37.5">
      <c r="A32" s="69"/>
      <c r="B32" s="78" t="s">
        <v>157</v>
      </c>
      <c r="C32" s="78"/>
      <c r="D32" s="78"/>
      <c r="E32" s="78"/>
      <c r="F32" s="93"/>
      <c r="G32" s="91"/>
      <c r="H32" s="92"/>
      <c r="I32" s="78"/>
      <c r="J32" s="117">
        <f>J13+J8</f>
        <v>195.3</v>
      </c>
      <c r="K32" s="117">
        <f>K13+K8</f>
        <v>168.4</v>
      </c>
      <c r="L32" s="117">
        <f>L13+L8</f>
        <v>0</v>
      </c>
      <c r="M32" s="117">
        <f>M13+M8</f>
        <v>363.7</v>
      </c>
      <c r="N32" s="78"/>
      <c r="O32" s="5"/>
    </row>
    <row r="33" spans="1:15" s="26" customFormat="1" ht="35.25" customHeight="1">
      <c r="A33" s="69"/>
      <c r="B33" s="78" t="s">
        <v>234</v>
      </c>
      <c r="C33" s="78"/>
      <c r="D33" s="78"/>
      <c r="E33" s="78"/>
      <c r="F33" s="93"/>
      <c r="G33" s="91"/>
      <c r="H33" s="92"/>
      <c r="I33" s="78"/>
      <c r="J33" s="136">
        <v>264</v>
      </c>
      <c r="K33" s="117" t="s">
        <v>222</v>
      </c>
      <c r="L33" s="117" t="s">
        <v>222</v>
      </c>
      <c r="M33" s="117" t="s">
        <v>235</v>
      </c>
      <c r="N33" s="78"/>
    </row>
    <row r="34" spans="1:15" s="26" customFormat="1" ht="35.25" customHeight="1">
      <c r="A34" s="161"/>
      <c r="B34" s="161"/>
      <c r="C34" s="161"/>
      <c r="D34" s="161"/>
      <c r="E34" s="161"/>
      <c r="F34" s="161"/>
      <c r="G34" s="161"/>
      <c r="H34" s="161"/>
      <c r="I34" s="161"/>
      <c r="J34" s="25"/>
      <c r="K34" s="25"/>
      <c r="L34" s="25"/>
      <c r="M34" s="25"/>
    </row>
    <row r="35" spans="1:15" s="26" customFormat="1" ht="35.25" customHeight="1">
      <c r="A35" s="30"/>
    </row>
    <row r="36" spans="1:15" s="26" customFormat="1" ht="35.25" customHeight="1">
      <c r="A36" s="30"/>
      <c r="J36" s="25"/>
    </row>
    <row r="37" spans="1:15">
      <c r="J37" s="5"/>
      <c r="O37" s="5"/>
    </row>
  </sheetData>
  <mergeCells count="21">
    <mergeCell ref="A34:I34"/>
    <mergeCell ref="B6:M6"/>
    <mergeCell ref="B7:M7"/>
    <mergeCell ref="B11:M11"/>
    <mergeCell ref="B19:M19"/>
    <mergeCell ref="B20:B27"/>
    <mergeCell ref="B12:B13"/>
    <mergeCell ref="C12:C13"/>
    <mergeCell ref="C20:C27"/>
    <mergeCell ref="E1:G1"/>
    <mergeCell ref="L1:N1"/>
    <mergeCell ref="A2:N2"/>
    <mergeCell ref="A4:A5"/>
    <mergeCell ref="B4:B5"/>
    <mergeCell ref="C4:C5"/>
    <mergeCell ref="D4:I4"/>
    <mergeCell ref="J4:M4"/>
    <mergeCell ref="N20:N27"/>
    <mergeCell ref="F5:H5"/>
    <mergeCell ref="N12:N15"/>
    <mergeCell ref="N4:N5"/>
  </mergeCells>
  <phoneticPr fontId="0" type="noConversion"/>
  <pageMargins left="0.35" right="0.25" top="0.44" bottom="0.41" header="0.39" footer="0.31"/>
  <pageSetup paperSize="9" scale="75" fitToHeight="17" orientation="landscape" r:id="rId1"/>
  <headerFooter alignWithMargins="0"/>
  <rowBreaks count="2" manualBreakCount="2">
    <brk id="10" max="13" man="1"/>
    <brk id="1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прилож 1 </vt:lpstr>
      <vt:lpstr>прилож 2 </vt:lpstr>
      <vt:lpstr>прилож 3</vt:lpstr>
      <vt:lpstr>прилож 4</vt:lpstr>
      <vt:lpstr>прилож 5</vt:lpstr>
      <vt:lpstr>прилож 6</vt:lpstr>
      <vt:lpstr>'прилож 1 '!Заголовки_для_печати</vt:lpstr>
      <vt:lpstr>'прилож 2 '!Заголовки_для_печати</vt:lpstr>
      <vt:lpstr>'прилож 3'!Заголовки_для_печати</vt:lpstr>
      <vt:lpstr>'прилож 5'!Заголовки_для_печати</vt:lpstr>
      <vt:lpstr>'прилож 1 '!Область_печати</vt:lpstr>
      <vt:lpstr>'прилож 2 '!Область_печати</vt:lpstr>
      <vt:lpstr>'прилож 4'!Область_печати</vt:lpstr>
      <vt:lpstr>'прилож 5'!Область_печати</vt:lpstr>
      <vt:lpstr>'прилож 6'!Область_печати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2014-12-08T04:44:57Z</cp:lastPrinted>
  <dcterms:created xsi:type="dcterms:W3CDTF">2013-07-29T03:10:57Z</dcterms:created>
  <dcterms:modified xsi:type="dcterms:W3CDTF">2014-12-30T01:12:49Z</dcterms:modified>
</cp:coreProperties>
</file>